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0" yWindow="0" windowWidth="20520" windowHeight="7620" tabRatio="599" activeTab="2"/>
  </bookViews>
  <sheets>
    <sheet name="Sources of Funding" sheetId="6" r:id="rId1"/>
    <sheet name="Pool wise Summary" sheetId="5" r:id="rId2"/>
    <sheet name="Annexure-1 Budgeting format" sheetId="4" r:id="rId3"/>
    <sheet name="Annexure_Untied Funds" sheetId="3" r:id="rId4"/>
  </sheets>
  <definedNames>
    <definedName name="_xlnm.Print_Area" localSheetId="2">'Annexure-1 Budgeting format'!$A$1:$W$211</definedName>
    <definedName name="_xlnm.Print_Titles" localSheetId="2">'Annexure-1 Budgeting format'!$A:$E,'Annexure-1 Budgeting format'!$1:$5</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72" i="4"/>
  <c r="Q172"/>
  <c r="U173" l="1"/>
  <c r="U195"/>
  <c r="U17" l="1"/>
  <c r="N17"/>
  <c r="U59"/>
  <c r="U29" l="1"/>
  <c r="F21" i="5" l="1"/>
  <c r="F20"/>
  <c r="F19"/>
  <c r="F18"/>
  <c r="F17"/>
  <c r="H79" i="4" l="1"/>
  <c r="H159" l="1"/>
  <c r="U79"/>
  <c r="U178" l="1"/>
  <c r="H178"/>
  <c r="U159"/>
  <c r="H29" l="1"/>
  <c r="U31" l="1"/>
  <c r="U30"/>
  <c r="U184"/>
  <c r="U15" l="1"/>
  <c r="K22"/>
  <c r="U21"/>
  <c r="Q21"/>
  <c r="U20"/>
  <c r="P20"/>
  <c r="U201" l="1"/>
  <c r="P201"/>
  <c r="U204" l="1"/>
  <c r="R204"/>
  <c r="U199"/>
  <c r="P199"/>
  <c r="P198"/>
  <c r="P114" l="1"/>
  <c r="M114"/>
  <c r="I173" l="1"/>
  <c r="K158" l="1"/>
  <c r="J158"/>
  <c r="I158"/>
  <c r="H158"/>
  <c r="G158"/>
  <c r="F158"/>
  <c r="H210"/>
  <c r="H211" s="1"/>
  <c r="U198"/>
  <c r="U19" l="1"/>
  <c r="G29" l="1"/>
  <c r="N159" l="1"/>
  <c r="U209"/>
  <c r="T209"/>
  <c r="T39" l="1"/>
  <c r="E9" i="3"/>
  <c r="U190" i="4"/>
  <c r="U54" l="1"/>
  <c r="U53"/>
  <c r="U52"/>
  <c r="U50"/>
  <c r="U48"/>
  <c r="U47"/>
  <c r="U55"/>
  <c r="U40" l="1"/>
  <c r="U192" l="1"/>
  <c r="U193" l="1"/>
  <c r="U189"/>
  <c r="Q189"/>
  <c r="U181"/>
  <c r="U130"/>
  <c r="U127"/>
  <c r="U121"/>
  <c r="U111"/>
  <c r="U90"/>
  <c r="U86"/>
  <c r="U75"/>
  <c r="U73"/>
  <c r="U72"/>
  <c r="U71"/>
  <c r="U70"/>
  <c r="U63" l="1"/>
  <c r="U61"/>
  <c r="U58"/>
  <c r="U43"/>
  <c r="U35"/>
  <c r="U28"/>
  <c r="U24"/>
  <c r="U14"/>
  <c r="U11"/>
  <c r="U8"/>
  <c r="U7"/>
  <c r="X158" l="1"/>
  <c r="Y158"/>
  <c r="U158"/>
  <c r="B20" i="5" s="1"/>
  <c r="N204" i="4" l="1"/>
  <c r="U185" l="1"/>
  <c r="U206" l="1"/>
  <c r="P206"/>
  <c r="P185" l="1"/>
  <c r="N184"/>
  <c r="F93" l="1"/>
  <c r="G93"/>
  <c r="I93"/>
  <c r="J93"/>
  <c r="K93"/>
  <c r="F134"/>
  <c r="G134"/>
  <c r="I134"/>
  <c r="J134"/>
  <c r="K134"/>
  <c r="T162"/>
  <c r="T152"/>
  <c r="T151"/>
  <c r="T37"/>
  <c r="L208"/>
  <c r="T208" s="1"/>
  <c r="L207"/>
  <c r="T207" s="1"/>
  <c r="L206"/>
  <c r="T206" s="1"/>
  <c r="L205"/>
  <c r="T205" s="1"/>
  <c r="L204"/>
  <c r="T204" s="1"/>
  <c r="L202"/>
  <c r="T202" s="1"/>
  <c r="L201"/>
  <c r="T201" s="1"/>
  <c r="L200"/>
  <c r="T200" s="1"/>
  <c r="L199"/>
  <c r="T199" s="1"/>
  <c r="L198"/>
  <c r="T198" s="1"/>
  <c r="L197"/>
  <c r="T197" s="1"/>
  <c r="L195"/>
  <c r="T195" s="1"/>
  <c r="L193"/>
  <c r="T193" s="1"/>
  <c r="L192"/>
  <c r="T192" s="1"/>
  <c r="L191"/>
  <c r="T191" s="1"/>
  <c r="L190"/>
  <c r="T190" s="1"/>
  <c r="L189"/>
  <c r="T189" s="1"/>
  <c r="L188"/>
  <c r="T188" s="1"/>
  <c r="L187"/>
  <c r="T187" s="1"/>
  <c r="L186"/>
  <c r="T186" s="1"/>
  <c r="L185"/>
  <c r="T185" s="1"/>
  <c r="L184"/>
  <c r="T184" s="1"/>
  <c r="L183"/>
  <c r="T183" s="1"/>
  <c r="L182"/>
  <c r="T182" s="1"/>
  <c r="L181"/>
  <c r="T181" s="1"/>
  <c r="L180"/>
  <c r="T180" s="1"/>
  <c r="L178"/>
  <c r="T178" s="1"/>
  <c r="L177"/>
  <c r="T177" s="1"/>
  <c r="L176"/>
  <c r="T176" s="1"/>
  <c r="L175"/>
  <c r="T175" s="1"/>
  <c r="L174"/>
  <c r="T174" s="1"/>
  <c r="L173"/>
  <c r="T173" s="1"/>
  <c r="L172"/>
  <c r="T172" s="1"/>
  <c r="L171"/>
  <c r="T171" s="1"/>
  <c r="L170"/>
  <c r="T170" s="1"/>
  <c r="L169"/>
  <c r="T169" s="1"/>
  <c r="U169" s="1"/>
  <c r="L168"/>
  <c r="T168" s="1"/>
  <c r="L167"/>
  <c r="T167" s="1"/>
  <c r="L166"/>
  <c r="T166" s="1"/>
  <c r="L165"/>
  <c r="T165" s="1"/>
  <c r="L164"/>
  <c r="T164" s="1"/>
  <c r="L163"/>
  <c r="T163" s="1"/>
  <c r="L161"/>
  <c r="T161" s="1"/>
  <c r="L160"/>
  <c r="T160" s="1"/>
  <c r="L159"/>
  <c r="T159" s="1"/>
  <c r="L156"/>
  <c r="T156" s="1"/>
  <c r="L155"/>
  <c r="T155" s="1"/>
  <c r="L154"/>
  <c r="T154" s="1"/>
  <c r="L149"/>
  <c r="T149" s="1"/>
  <c r="L148"/>
  <c r="T148" s="1"/>
  <c r="L147"/>
  <c r="T147" s="1"/>
  <c r="L146"/>
  <c r="T146" s="1"/>
  <c r="L145"/>
  <c r="T145" s="1"/>
  <c r="L144"/>
  <c r="T144" s="1"/>
  <c r="L143"/>
  <c r="T143" s="1"/>
  <c r="L142"/>
  <c r="T142" s="1"/>
  <c r="L141"/>
  <c r="T141" s="1"/>
  <c r="L140"/>
  <c r="T140" s="1"/>
  <c r="L139"/>
  <c r="T139" s="1"/>
  <c r="L138"/>
  <c r="T138" s="1"/>
  <c r="L137"/>
  <c r="T137" s="1"/>
  <c r="L136"/>
  <c r="T136" s="1"/>
  <c r="L135"/>
  <c r="T135" s="1"/>
  <c r="L133"/>
  <c r="T133" s="1"/>
  <c r="L132"/>
  <c r="T132" s="1"/>
  <c r="L131"/>
  <c r="T131" s="1"/>
  <c r="L130"/>
  <c r="T130" s="1"/>
  <c r="L129"/>
  <c r="T129" s="1"/>
  <c r="L128"/>
  <c r="T128" s="1"/>
  <c r="U128" s="1"/>
  <c r="L127"/>
  <c r="T127" s="1"/>
  <c r="L126"/>
  <c r="T126" s="1"/>
  <c r="L125"/>
  <c r="T125" s="1"/>
  <c r="L124"/>
  <c r="T124" s="1"/>
  <c r="L123"/>
  <c r="T123" s="1"/>
  <c r="L122"/>
  <c r="T122" s="1"/>
  <c r="L121"/>
  <c r="T121" s="1"/>
  <c r="L120"/>
  <c r="T120" s="1"/>
  <c r="L119"/>
  <c r="T119" s="1"/>
  <c r="L118"/>
  <c r="T118" s="1"/>
  <c r="L117"/>
  <c r="T117" s="1"/>
  <c r="L116"/>
  <c r="T116" s="1"/>
  <c r="L115"/>
  <c r="T115" s="1"/>
  <c r="L114"/>
  <c r="T114" s="1"/>
  <c r="L113"/>
  <c r="T113" s="1"/>
  <c r="L112"/>
  <c r="T112" s="1"/>
  <c r="L111"/>
  <c r="T111" s="1"/>
  <c r="L110"/>
  <c r="T110" s="1"/>
  <c r="L109"/>
  <c r="T109" s="1"/>
  <c r="U109" s="1"/>
  <c r="L108"/>
  <c r="T108" s="1"/>
  <c r="L107"/>
  <c r="T107" s="1"/>
  <c r="L106"/>
  <c r="T106" s="1"/>
  <c r="L105"/>
  <c r="T105" s="1"/>
  <c r="L104"/>
  <c r="T104" s="1"/>
  <c r="L103"/>
  <c r="T103" s="1"/>
  <c r="L102"/>
  <c r="T102" s="1"/>
  <c r="L101"/>
  <c r="T101" s="1"/>
  <c r="L100"/>
  <c r="T100" s="1"/>
  <c r="L99"/>
  <c r="T99" s="1"/>
  <c r="L98"/>
  <c r="T98" s="1"/>
  <c r="L97"/>
  <c r="T97" s="1"/>
  <c r="L96"/>
  <c r="T96" s="1"/>
  <c r="L95"/>
  <c r="T95" s="1"/>
  <c r="L94"/>
  <c r="T94" s="1"/>
  <c r="L92"/>
  <c r="T92" s="1"/>
  <c r="L91"/>
  <c r="T91" s="1"/>
  <c r="L90"/>
  <c r="T90" s="1"/>
  <c r="L89"/>
  <c r="T89" s="1"/>
  <c r="L88"/>
  <c r="T88" s="1"/>
  <c r="L87"/>
  <c r="T87" s="1"/>
  <c r="L86"/>
  <c r="T86" s="1"/>
  <c r="L85"/>
  <c r="T85" s="1"/>
  <c r="L84"/>
  <c r="T84" s="1"/>
  <c r="L83"/>
  <c r="T83" s="1"/>
  <c r="L82"/>
  <c r="T82" s="1"/>
  <c r="L81"/>
  <c r="T81" s="1"/>
  <c r="L80"/>
  <c r="T80" s="1"/>
  <c r="L79"/>
  <c r="T79" s="1"/>
  <c r="L78"/>
  <c r="T78" s="1"/>
  <c r="L77"/>
  <c r="T77" s="1"/>
  <c r="L76"/>
  <c r="T76" s="1"/>
  <c r="L75"/>
  <c r="T75" s="1"/>
  <c r="L74"/>
  <c r="T74" s="1"/>
  <c r="L73"/>
  <c r="T73" s="1"/>
  <c r="L72"/>
  <c r="T72" s="1"/>
  <c r="L71"/>
  <c r="T71" s="1"/>
  <c r="L70"/>
  <c r="T70" s="1"/>
  <c r="L69"/>
  <c r="T69" s="1"/>
  <c r="L67"/>
  <c r="T67" s="1"/>
  <c r="L66"/>
  <c r="T66" s="1"/>
  <c r="L65"/>
  <c r="T65" s="1"/>
  <c r="L64"/>
  <c r="T64" s="1"/>
  <c r="L63"/>
  <c r="T63" s="1"/>
  <c r="L62"/>
  <c r="T62" s="1"/>
  <c r="L61"/>
  <c r="T61" s="1"/>
  <c r="L60"/>
  <c r="T60" s="1"/>
  <c r="L59"/>
  <c r="T59" s="1"/>
  <c r="L58"/>
  <c r="T58" s="1"/>
  <c r="L57"/>
  <c r="T57" s="1"/>
  <c r="L56"/>
  <c r="T56" s="1"/>
  <c r="L55"/>
  <c r="T55" s="1"/>
  <c r="L54"/>
  <c r="T54" s="1"/>
  <c r="L53"/>
  <c r="T53" s="1"/>
  <c r="L52"/>
  <c r="T52" s="1"/>
  <c r="L51"/>
  <c r="T51" s="1"/>
  <c r="L50"/>
  <c r="T50" s="1"/>
  <c r="L49"/>
  <c r="T49" s="1"/>
  <c r="L48"/>
  <c r="T48" s="1"/>
  <c r="L47"/>
  <c r="T47" s="1"/>
  <c r="L46"/>
  <c r="T46" s="1"/>
  <c r="L45"/>
  <c r="T45" s="1"/>
  <c r="L44"/>
  <c r="T44" s="1"/>
  <c r="L43"/>
  <c r="T43" s="1"/>
  <c r="L42"/>
  <c r="T42" s="1"/>
  <c r="L41"/>
  <c r="T41" s="1"/>
  <c r="L40"/>
  <c r="T40" s="1"/>
  <c r="L7"/>
  <c r="T7" s="1"/>
  <c r="L8"/>
  <c r="T8" s="1"/>
  <c r="L9"/>
  <c r="T9" s="1"/>
  <c r="L10"/>
  <c r="T10" s="1"/>
  <c r="L11"/>
  <c r="T11" s="1"/>
  <c r="L12"/>
  <c r="T12" s="1"/>
  <c r="L13"/>
  <c r="T13" s="1"/>
  <c r="L14"/>
  <c r="T14" s="1"/>
  <c r="L15"/>
  <c r="T15" s="1"/>
  <c r="L16"/>
  <c r="T16" s="1"/>
  <c r="L17"/>
  <c r="T17" s="1"/>
  <c r="L18"/>
  <c r="T18" s="1"/>
  <c r="L19"/>
  <c r="T19" s="1"/>
  <c r="L20"/>
  <c r="T20" s="1"/>
  <c r="L21"/>
  <c r="T21" s="1"/>
  <c r="L22"/>
  <c r="T22" s="1"/>
  <c r="L23"/>
  <c r="T23" s="1"/>
  <c r="L24"/>
  <c r="T24" s="1"/>
  <c r="L25"/>
  <c r="T25" s="1"/>
  <c r="L26"/>
  <c r="T26" s="1"/>
  <c r="L27"/>
  <c r="T27" s="1"/>
  <c r="L28"/>
  <c r="T28" s="1"/>
  <c r="L29"/>
  <c r="T29" s="1"/>
  <c r="L30"/>
  <c r="T30" s="1"/>
  <c r="L31"/>
  <c r="T31" s="1"/>
  <c r="L32"/>
  <c r="T32" s="1"/>
  <c r="L33"/>
  <c r="T33" s="1"/>
  <c r="L34"/>
  <c r="T34" s="1"/>
  <c r="L35"/>
  <c r="T35" s="1"/>
  <c r="L36"/>
  <c r="T36" s="1"/>
  <c r="L6"/>
  <c r="T6" s="1"/>
  <c r="I17" i="5"/>
  <c r="D22" l="1"/>
  <c r="C22"/>
  <c r="I21"/>
  <c r="I20"/>
  <c r="I19"/>
  <c r="I18"/>
  <c r="E20" l="1"/>
  <c r="F22"/>
  <c r="I22" s="1"/>
  <c r="D11"/>
  <c r="C11"/>
  <c r="F210" i="4" l="1"/>
  <c r="G210"/>
  <c r="I210"/>
  <c r="J210"/>
  <c r="K210"/>
  <c r="Z210"/>
  <c r="F10" i="5" s="1"/>
  <c r="I10" s="1"/>
  <c r="Z158" i="4"/>
  <c r="F9" i="5" s="1"/>
  <c r="I9" s="1"/>
  <c r="Z134" i="4"/>
  <c r="Z93"/>
  <c r="F7" i="5" s="1"/>
  <c r="I7" s="1"/>
  <c r="Z68" i="4"/>
  <c r="F6" i="5" s="1"/>
  <c r="I6" s="1"/>
  <c r="X210" i="4"/>
  <c r="X134"/>
  <c r="X93"/>
  <c r="X68"/>
  <c r="T210"/>
  <c r="B10" i="5" s="1"/>
  <c r="E10" s="1"/>
  <c r="T158" i="4"/>
  <c r="T134"/>
  <c r="B8" i="5" s="1"/>
  <c r="E8" s="1"/>
  <c r="T93" i="4"/>
  <c r="T68"/>
  <c r="U210"/>
  <c r="B21" i="5" s="1"/>
  <c r="E21" s="1"/>
  <c r="U134" i="4"/>
  <c r="B19" i="5" s="1"/>
  <c r="E19" s="1"/>
  <c r="U93" i="4"/>
  <c r="B18" i="5" s="1"/>
  <c r="E18" s="1"/>
  <c r="U68" i="4"/>
  <c r="B17" i="5" s="1"/>
  <c r="L158" i="4"/>
  <c r="M158"/>
  <c r="N158"/>
  <c r="O158"/>
  <c r="P158"/>
  <c r="Q158"/>
  <c r="R158"/>
  <c r="S158"/>
  <c r="AA158"/>
  <c r="Y68"/>
  <c r="Q68"/>
  <c r="AA210"/>
  <c r="Y210"/>
  <c r="S210"/>
  <c r="R210"/>
  <c r="Q210"/>
  <c r="P210"/>
  <c r="O210"/>
  <c r="N210"/>
  <c r="M210"/>
  <c r="L210"/>
  <c r="AA134"/>
  <c r="Y134"/>
  <c r="S134"/>
  <c r="R134"/>
  <c r="Q134"/>
  <c r="P134"/>
  <c r="O134"/>
  <c r="N134"/>
  <c r="M134"/>
  <c r="L134"/>
  <c r="AA93"/>
  <c r="Y93"/>
  <c r="S93"/>
  <c r="R93"/>
  <c r="Q93"/>
  <c r="P93"/>
  <c r="O93"/>
  <c r="N93"/>
  <c r="M93"/>
  <c r="L93"/>
  <c r="AA68"/>
  <c r="S68"/>
  <c r="R68"/>
  <c r="P68"/>
  <c r="O68"/>
  <c r="N68"/>
  <c r="M68"/>
  <c r="L68"/>
  <c r="K68"/>
  <c r="J68"/>
  <c r="I68"/>
  <c r="G68"/>
  <c r="F68"/>
  <c r="E17" i="5" l="1"/>
  <c r="B22"/>
  <c r="E22" s="1"/>
  <c r="B9"/>
  <c r="E9" s="1"/>
  <c r="B7"/>
  <c r="E7" s="1"/>
  <c r="B6"/>
  <c r="E6" s="1"/>
  <c r="X211" i="4"/>
  <c r="AA211"/>
  <c r="L211"/>
  <c r="Y211"/>
  <c r="G211"/>
  <c r="Z211"/>
  <c r="F8" i="5"/>
  <c r="S211" i="4"/>
  <c r="J211"/>
  <c r="P211"/>
  <c r="I211"/>
  <c r="M211"/>
  <c r="Q211"/>
  <c r="O211"/>
  <c r="R211"/>
  <c r="N211"/>
  <c r="K211"/>
  <c r="U211"/>
  <c r="T211"/>
  <c r="F211"/>
  <c r="B11" i="5" l="1"/>
  <c r="E11" s="1"/>
  <c r="F11"/>
  <c r="I11" s="1"/>
  <c r="I8"/>
</calcChain>
</file>

<file path=xl/sharedStrings.xml><?xml version="1.0" encoding="utf-8"?>
<sst xmlns="http://schemas.openxmlformats.org/spreadsheetml/2006/main" count="621" uniqueCount="544">
  <si>
    <t>Pool</t>
  </si>
  <si>
    <t>FMR Code</t>
  </si>
  <si>
    <t>Programme/ Theme</t>
  </si>
  <si>
    <t>S.No.</t>
  </si>
  <si>
    <t>Scheme/ Activity</t>
  </si>
  <si>
    <t>DBT</t>
  </si>
  <si>
    <t>Infrastructure - Civil works (I&amp;C)</t>
  </si>
  <si>
    <t>Drugs</t>
  </si>
  <si>
    <t>ASHA incentives</t>
  </si>
  <si>
    <t>Surveillance, Research, Review, Evaluation (SRRE)</t>
  </si>
  <si>
    <t>Total amount recommended by NPCC</t>
  </si>
  <si>
    <t>Total approved amount (ROP)</t>
  </si>
  <si>
    <t>Remarks of NPCC/ Ministry</t>
  </si>
  <si>
    <t>Total</t>
  </si>
  <si>
    <t>RCH Flexible Pool (including RI, IPPI, NIDDCP)</t>
  </si>
  <si>
    <t>RCH.1</t>
  </si>
  <si>
    <t>Maternal Health</t>
  </si>
  <si>
    <t>Village Health &amp; Nutrition Day (VHND)</t>
  </si>
  <si>
    <t>Pregnancy Registration and Ante-Natal Checkups</t>
  </si>
  <si>
    <t>Janani Shishu Suraksha Karyakram (JSSK) (excluding transport)</t>
  </si>
  <si>
    <t>Janani Shishu Suraksha Karyakram (JSSK) - transport</t>
  </si>
  <si>
    <t>Pradhan Mantri Surakshit Matritva Abhiyan (PMSMA)</t>
  </si>
  <si>
    <t>Surakshit Matritva Aashwasan (SUMAN)</t>
  </si>
  <si>
    <t>Midwifery</t>
  </si>
  <si>
    <t>Maternal Death Review</t>
  </si>
  <si>
    <t>Comprehensive Abortion Care</t>
  </si>
  <si>
    <t>PC &amp; PNDT Act</t>
  </si>
  <si>
    <t>MCH wings</t>
  </si>
  <si>
    <t>FRUs</t>
  </si>
  <si>
    <t>Labour Rooms (LDR + NBCCs)</t>
  </si>
  <si>
    <t>LaQshya</t>
  </si>
  <si>
    <t>Implementation of RCH Portal/ANMOL/MCTS</t>
  </si>
  <si>
    <t>Other MH Components</t>
  </si>
  <si>
    <t>Child Health</t>
  </si>
  <si>
    <t>Rashtriya Bal Swasthya Karyakram (RBSK)</t>
  </si>
  <si>
    <t>Child Death Review</t>
  </si>
  <si>
    <t>SAANS</t>
  </si>
  <si>
    <t>Other Child Health Components</t>
  </si>
  <si>
    <t>RCH.3</t>
  </si>
  <si>
    <t>Immunization</t>
  </si>
  <si>
    <t>RCH.4</t>
  </si>
  <si>
    <t>Adolescent Health</t>
  </si>
  <si>
    <t>Adolescent Friendly Health Clinics</t>
  </si>
  <si>
    <t>Weekly Iron Folic Supplement (WIFS)</t>
  </si>
  <si>
    <t>Peer Educator Programme</t>
  </si>
  <si>
    <t>Other Adolescent Health Components</t>
  </si>
  <si>
    <t>RCH.5</t>
  </si>
  <si>
    <t>Family Planning</t>
  </si>
  <si>
    <t>IUCD Insertion (PPIUCD and PAIUCD)</t>
  </si>
  <si>
    <t>ANTARA</t>
  </si>
  <si>
    <t>MPV(Mission Parivar Vikas)</t>
  </si>
  <si>
    <t>FPLMIS</t>
  </si>
  <si>
    <t>Other Family Planning Components</t>
  </si>
  <si>
    <t>RCH.6</t>
  </si>
  <si>
    <t>Nutrition</t>
  </si>
  <si>
    <t>National Deworming Day</t>
  </si>
  <si>
    <t>Nutritional Rehabilitation Centers (NRC)</t>
  </si>
  <si>
    <t>Vitamin A Supplementation</t>
  </si>
  <si>
    <t>Mother's Absolute Affection (MAA)</t>
  </si>
  <si>
    <t>Lactation Management Centers</t>
  </si>
  <si>
    <t>RCH.7</t>
  </si>
  <si>
    <t>National Iodine Deficiency Disorders Control Programme (NIDDCP)</t>
  </si>
  <si>
    <t>NDCP Flexi Pool</t>
  </si>
  <si>
    <t>Integrated Disease Surveillance Programme (IDSP)</t>
  </si>
  <si>
    <t>National Vector Borne Disease Control Programme (NVBDCP)</t>
  </si>
  <si>
    <t>Malaria</t>
  </si>
  <si>
    <t>Kala-azar</t>
  </si>
  <si>
    <t>AES/JE</t>
  </si>
  <si>
    <t>Dengue &amp; Chikungunya</t>
  </si>
  <si>
    <t>Lymphatic Filariasis</t>
  </si>
  <si>
    <t>National Leprosy Eradication Programme (NLEP)</t>
  </si>
  <si>
    <t>National Tuberculosis Elimination Programme (NTEP)</t>
  </si>
  <si>
    <t>National Viral Hepatitis Control Programme (NVHCP)</t>
  </si>
  <si>
    <t>National Rabies Control Programme (NRCP)</t>
  </si>
  <si>
    <t>Programme for Prevention and Control of Leptospirosis (PPCL)</t>
  </si>
  <si>
    <t>State specific Programme Interventions</t>
  </si>
  <si>
    <t>NCD Flexi Pool</t>
  </si>
  <si>
    <t>National Program for Control of Blindness and Vision Impairment (NPCB+VI)</t>
  </si>
  <si>
    <t>Mobile Ophthalmic Units</t>
  </si>
  <si>
    <t>Collection of eye balls by eye banks and eye donation centres</t>
  </si>
  <si>
    <t>Free spectacles to school children</t>
  </si>
  <si>
    <t>PPP</t>
  </si>
  <si>
    <t>Other NPCB+VI components</t>
  </si>
  <si>
    <t>National Mental Health Program (NMHP)</t>
  </si>
  <si>
    <t>National Programme for Health Care for the Elderly (NPHCE)</t>
  </si>
  <si>
    <t>National Tobacco Control Programme (NTCP)</t>
  </si>
  <si>
    <t>National Programme for Prevention and Control of Diabetes, Cardiovascular Disease and Stroke (NPCDCS)</t>
  </si>
  <si>
    <t>Pradhan Mantri National Dialysis Programme (PMNDP)</t>
  </si>
  <si>
    <t>National Program for Climate Change and Human Health (NPCCHH)</t>
  </si>
  <si>
    <t>National Oral health programme (NOHP)</t>
  </si>
  <si>
    <t>National Programme on palliative care (NPPC)</t>
  </si>
  <si>
    <t>National Programme for Prevention and Control of Fluorosis (NPPCF)</t>
  </si>
  <si>
    <t>National Programme for Prevention and Control of Deafness (NPPCD)</t>
  </si>
  <si>
    <t>National programme for Prevention and Management of Burn &amp; Injuries</t>
  </si>
  <si>
    <t>Health System Strengthening (HSS) - Urban</t>
  </si>
  <si>
    <t>Comprehensive Primary Healthcare (CPHC)</t>
  </si>
  <si>
    <t>Community Engagement</t>
  </si>
  <si>
    <t>MAS</t>
  </si>
  <si>
    <t>JAS</t>
  </si>
  <si>
    <t>RKS</t>
  </si>
  <si>
    <t>Other Community Engagement Components</t>
  </si>
  <si>
    <t>Public Health Institutions as per IPHS norms</t>
  </si>
  <si>
    <t>Quality Assurance</t>
  </si>
  <si>
    <t>Kayakalp</t>
  </si>
  <si>
    <t>Access</t>
  </si>
  <si>
    <t>Mobile Medical Units</t>
  </si>
  <si>
    <t>Innovation</t>
  </si>
  <si>
    <t>State specific Programme Innovations and Interventions</t>
  </si>
  <si>
    <t>Health System Strengthening (HSS) Rural</t>
  </si>
  <si>
    <t>HSS.1</t>
  </si>
  <si>
    <t>HSS.2</t>
  </si>
  <si>
    <t>Blood Services &amp; Disorders</t>
  </si>
  <si>
    <t>HSS.3</t>
  </si>
  <si>
    <t>HSS.4</t>
  </si>
  <si>
    <t>VHSNC</t>
  </si>
  <si>
    <t>HSS.5</t>
  </si>
  <si>
    <t>District Hospitals</t>
  </si>
  <si>
    <t>Sub-District Hospitals</t>
  </si>
  <si>
    <t>Community Health Centers</t>
  </si>
  <si>
    <t>Primary Health Centers</t>
  </si>
  <si>
    <t>Sub-Health Centers</t>
  </si>
  <si>
    <t>Other Infrastructure/Civil works/expansion etc.</t>
  </si>
  <si>
    <t>HSS.6</t>
  </si>
  <si>
    <t>Referral Transport</t>
  </si>
  <si>
    <t>Advance Life Saving Ambulances</t>
  </si>
  <si>
    <t>Basic Life Saving Ambulances</t>
  </si>
  <si>
    <t>Other Ambulances</t>
  </si>
  <si>
    <t>HSS.7</t>
  </si>
  <si>
    <t>Swacch Swasth Sarvatra</t>
  </si>
  <si>
    <t>HSS.8</t>
  </si>
  <si>
    <t>Other Initiatives to improve access</t>
  </si>
  <si>
    <t>Free Drugs Services Initiative</t>
  </si>
  <si>
    <t>Free Diagnostics Services Initiative</t>
  </si>
  <si>
    <t>Inventory management</t>
  </si>
  <si>
    <t>HRH</t>
  </si>
  <si>
    <t>Incentives under CPHC</t>
  </si>
  <si>
    <t>HSS.11</t>
  </si>
  <si>
    <t>Enhancing HR</t>
  </si>
  <si>
    <t>DNB/CPS courses for Medical doctors</t>
  </si>
  <si>
    <t>Technical Assistance</t>
  </si>
  <si>
    <t>SHSRC</t>
  </si>
  <si>
    <t>HSS.13</t>
  </si>
  <si>
    <t>HSS.14</t>
  </si>
  <si>
    <t>IT interventions and systems</t>
  </si>
  <si>
    <t>Implementation of DVDMS</t>
  </si>
  <si>
    <t>eSanjeevani (OPD+HWC)</t>
  </si>
  <si>
    <t>Human Resource Information Systems (HRIS)</t>
  </si>
  <si>
    <t>Community Based  Care - HBNC &amp; HBYC</t>
  </si>
  <si>
    <t>Patient Transport Vehicle</t>
  </si>
  <si>
    <t>Other Community Engagements Components</t>
  </si>
  <si>
    <t>Comprehensive Grievance Redressal Mechanism</t>
  </si>
  <si>
    <t xml:space="preserve">Planning and Program Management </t>
  </si>
  <si>
    <t>Untied Grants</t>
  </si>
  <si>
    <t>Others including operating costs(OOC)</t>
  </si>
  <si>
    <t>Peritoneal Dialysis Services</t>
  </si>
  <si>
    <t>Blood collection and Transport Vans</t>
  </si>
  <si>
    <t>Other  Blood Services &amp; Disorders Components</t>
  </si>
  <si>
    <t xml:space="preserve"> Case detection and Management</t>
  </si>
  <si>
    <t xml:space="preserve"> DPMR Services: Reconstructive surgeries</t>
  </si>
  <si>
    <t>District Awards</t>
  </si>
  <si>
    <t>TB Harega Desh Jeetega Campaign</t>
  </si>
  <si>
    <t>Other NLEP Components</t>
  </si>
  <si>
    <t>HDU/ICU - Maternal Health</t>
  </si>
  <si>
    <t>Gender Based Violence &amp; Medico Legal Care For Survivors Victims of Sexual Violence</t>
  </si>
  <si>
    <t>Biomedical Equipment Management System and AERB</t>
  </si>
  <si>
    <t>Outreach activities</t>
  </si>
  <si>
    <t>Mapping of slums and vulnerable population</t>
  </si>
  <si>
    <t>Equipment (Including Furniture, Excluding Computers)</t>
  </si>
  <si>
    <t>IEC &amp; Printing</t>
  </si>
  <si>
    <t>Prevention</t>
  </si>
  <si>
    <t>Treatment</t>
  </si>
  <si>
    <t>Geriatric Care at DH</t>
  </si>
  <si>
    <t>Geriatric Care at CHC/SDH</t>
  </si>
  <si>
    <t>Free spectacles to others</t>
  </si>
  <si>
    <t>Tobacco Cessation</t>
  </si>
  <si>
    <t>NCD Clinics at DH</t>
  </si>
  <si>
    <t>NCD Clinics at CHC/SDH</t>
  </si>
  <si>
    <t>Implementation at CHC/SDH</t>
  </si>
  <si>
    <t>Implementation at DH</t>
  </si>
  <si>
    <t>Screening of Deafness</t>
  </si>
  <si>
    <t>Management of Deafness</t>
  </si>
  <si>
    <t>Support for Burn Units</t>
  </si>
  <si>
    <t>State specific Initiatives and Innovations</t>
  </si>
  <si>
    <t>Support for Emergency Trauma Care</t>
  </si>
  <si>
    <t>RBSK at Facility Level including District Early Intervention Centers (DEIC)</t>
  </si>
  <si>
    <t>School Health And Wellness Program under Ayushman Bharat</t>
  </si>
  <si>
    <t>Drug Sensitive TB (DSTB)</t>
  </si>
  <si>
    <t>Nikshay Poshan Yojana</t>
  </si>
  <si>
    <t>Latent TB Infection (LTBI)</t>
  </si>
  <si>
    <t>Drug Resistant TB(DRTB)</t>
  </si>
  <si>
    <t>Cataract Surgeries through facilities</t>
  </si>
  <si>
    <t>Cataract Surgeries through NGOs</t>
  </si>
  <si>
    <t>Grant in Aid for the health institutions, Eye Bank, NGO, Private Practioners</t>
  </si>
  <si>
    <t>Other NPCDCS Components</t>
  </si>
  <si>
    <t>Mobile Dental Units/Van</t>
  </si>
  <si>
    <t>Urban CHCs and Maternity Homes</t>
  </si>
  <si>
    <t>Urban PHCs</t>
  </si>
  <si>
    <t>Support for Blood Transfusion</t>
  </si>
  <si>
    <t>Screening for Blood Disorders</t>
  </si>
  <si>
    <t xml:space="preserve">Public Health Institutions as per IPHS norms 
</t>
  </si>
  <si>
    <t>State specific Programme Interventions and Innovations</t>
  </si>
  <si>
    <t>Remuneration for CHOs</t>
  </si>
  <si>
    <t>Costs for HR Recruitment and Outsourcing</t>
  </si>
  <si>
    <t>Remuneration for all NHM HR</t>
  </si>
  <si>
    <t>Incentives(Allowance, Incentives, staff welfare fund)</t>
  </si>
  <si>
    <t>Training Institutes and Skill Labs</t>
  </si>
  <si>
    <t>HSS.12</t>
  </si>
  <si>
    <t>HSS.10</t>
  </si>
  <si>
    <t xml:space="preserve">District Hospitals </t>
  </si>
  <si>
    <t>PHCs</t>
  </si>
  <si>
    <t>Sub Centres</t>
  </si>
  <si>
    <t>VHSC</t>
  </si>
  <si>
    <t>Others (please specify)</t>
  </si>
  <si>
    <t>Facility Level</t>
  </si>
  <si>
    <t>Budget</t>
  </si>
  <si>
    <t>CHCs/SDH</t>
  </si>
  <si>
    <t>NDCP.1</t>
  </si>
  <si>
    <t>NDCP.2</t>
  </si>
  <si>
    <t>NDCP.3</t>
  </si>
  <si>
    <t>NDCP.4</t>
  </si>
  <si>
    <t>NDCP.5</t>
  </si>
  <si>
    <t>NDCP.6</t>
  </si>
  <si>
    <t>NDCP.7</t>
  </si>
  <si>
    <t>HSS(U).1</t>
  </si>
  <si>
    <t>HSS(U).2</t>
  </si>
  <si>
    <t>HSS(U).3</t>
  </si>
  <si>
    <t>HSS(U).4</t>
  </si>
  <si>
    <t>HSS(U).5</t>
  </si>
  <si>
    <t>HSS(U).6</t>
  </si>
  <si>
    <t>HSS(U).7</t>
  </si>
  <si>
    <t>Quality Assurance Implementation &amp; Mera Aspataal</t>
  </si>
  <si>
    <t>Implementation of NRCP</t>
  </si>
  <si>
    <t>Implementation of NIDDCP</t>
  </si>
  <si>
    <t>Implementation of IDSP</t>
  </si>
  <si>
    <t>Implementation of PPCL</t>
  </si>
  <si>
    <t>NDCP.8</t>
  </si>
  <si>
    <t>Implementation of State specific Initiatives and Innovations</t>
  </si>
  <si>
    <t>Implementation of NPCCHH</t>
  </si>
  <si>
    <t>Implementation of NPPC</t>
  </si>
  <si>
    <t>Implementation of NPPCF</t>
  </si>
  <si>
    <t>Untied Fund</t>
  </si>
  <si>
    <t>HSS(U).8</t>
  </si>
  <si>
    <t>HSS(U).9</t>
  </si>
  <si>
    <t>HSS.9</t>
  </si>
  <si>
    <t>NCD.13</t>
  </si>
  <si>
    <t>NCD.12</t>
  </si>
  <si>
    <t>RCH.2</t>
  </si>
  <si>
    <t>RCH.8</t>
  </si>
  <si>
    <t>NCD.1</t>
  </si>
  <si>
    <t>NCD.2</t>
  </si>
  <si>
    <t>NCD.3</t>
  </si>
  <si>
    <t>NCD.4</t>
  </si>
  <si>
    <t>NCD.5</t>
  </si>
  <si>
    <t>NCD.6</t>
  </si>
  <si>
    <t>NCD.7</t>
  </si>
  <si>
    <t>NCD.8</t>
  </si>
  <si>
    <t>NCD.9</t>
  </si>
  <si>
    <t>NCD.10</t>
  </si>
  <si>
    <t>NCD.11</t>
  </si>
  <si>
    <t>Janani Suraksha Yojana (JSY)</t>
  </si>
  <si>
    <t>Menstrual Hygiene Scheme (MHS)</t>
  </si>
  <si>
    <t>Sterilization - Female</t>
  </si>
  <si>
    <t>Sterilization - Male</t>
  </si>
  <si>
    <t>Anaemia Mukt Bharat</t>
  </si>
  <si>
    <t>Intensified Diarrhoea Control Fortnight</t>
  </si>
  <si>
    <t>Other Ophthalmic Interventions through facilities</t>
  </si>
  <si>
    <t>Other Ophthalmic Interventions through NGOs</t>
  </si>
  <si>
    <t>Implementation of District Mental Health Plan</t>
  </si>
  <si>
    <t>Haemodialysis Services</t>
  </si>
  <si>
    <t>State Specific Initiatives</t>
  </si>
  <si>
    <t>Budget for Procurement done by States</t>
  </si>
  <si>
    <t xml:space="preserve"> Capacity building incl. training</t>
  </si>
  <si>
    <t>Rural</t>
  </si>
  <si>
    <t>UCHC</t>
  </si>
  <si>
    <t>UPHC</t>
  </si>
  <si>
    <t>Urban</t>
  </si>
  <si>
    <t>Numbers</t>
  </si>
  <si>
    <t xml:space="preserve">Total </t>
  </si>
  <si>
    <t>NDCP Sub Total</t>
  </si>
  <si>
    <t>NCD Sub Total</t>
  </si>
  <si>
    <t>NUHM Sub Total</t>
  </si>
  <si>
    <t>HSS Sub Total</t>
  </si>
  <si>
    <t>GRAND TOTAL</t>
  </si>
  <si>
    <t>RCH Sub Total</t>
  </si>
  <si>
    <t>Reasons, if deviation more than +/- 10%</t>
  </si>
  <si>
    <t>Amount Proposed</t>
  </si>
  <si>
    <t>FY
2022-23</t>
  </si>
  <si>
    <t>FY
2023-24</t>
  </si>
  <si>
    <t>Pulse polio Campaign</t>
  </si>
  <si>
    <t>Annexure - 1: Budgeting format for FY 2022-23 and FY 2023-24</t>
  </si>
  <si>
    <t>Cardiac Care Unit (CCU/ICU) including STEMI</t>
  </si>
  <si>
    <t xml:space="preserve">Paediatric Care </t>
  </si>
  <si>
    <t>Facility Based New born Care</t>
  </si>
  <si>
    <t>Health System Strengthening (HSS) under NRHM</t>
  </si>
  <si>
    <t>NUHM Flexible Pool</t>
  </si>
  <si>
    <t>NDCP Flexible Pool (RNTCP, NVHCP, NVBDCP, NLEP, IDSP, NRCP, PPCL)</t>
  </si>
  <si>
    <t>NCD Flexible Pool (NPCB&amp;VI, NMHP, NPHCE, NTCP, NPCDCS, PMNDP, NPPCCHH)</t>
  </si>
  <si>
    <t xml:space="preserve">Total proposed amount </t>
  </si>
  <si>
    <t>Amount in Rs lakhs</t>
  </si>
  <si>
    <t>Tribal Sub Plan</t>
  </si>
  <si>
    <t>SC Sub Plan</t>
  </si>
  <si>
    <t>Budget Proposed</t>
  </si>
  <si>
    <t>Budget Approved</t>
  </si>
  <si>
    <t>General Sub Plan</t>
  </si>
  <si>
    <t>Sl. No</t>
  </si>
  <si>
    <t>Heads</t>
  </si>
  <si>
    <t>State Government (health budget other than NHM, including Medical Education)</t>
  </si>
  <si>
    <t>Central Government (including Medical Education/ PMSSY/ Tertiary care programme/ Pharmacology etc.)</t>
  </si>
  <si>
    <t>NACO</t>
  </si>
  <si>
    <t>Ministry of AYUSH</t>
  </si>
  <si>
    <t>Ministry of Tribal Affairs</t>
  </si>
  <si>
    <t>Ministry of Minority Affairs</t>
  </si>
  <si>
    <t>Ministry of Social Justice and Empowerment</t>
  </si>
  <si>
    <t>Member of Parliament Local Area Development Scheme (MPLADS)</t>
  </si>
  <si>
    <t>Ministry of Development of North Eastern Region</t>
  </si>
  <si>
    <t>The Border Area Development Programme (BADP)</t>
  </si>
  <si>
    <t>District Mineral Foundation Fund</t>
  </si>
  <si>
    <t>Fund from Development partners</t>
  </si>
  <si>
    <t>Fund from CSR</t>
  </si>
  <si>
    <t>Fund for Aspirational Districts</t>
  </si>
  <si>
    <t>Any Other residual head (Please specify…)</t>
  </si>
  <si>
    <t>PM-ABHIM</t>
  </si>
  <si>
    <t>15 FC Grant through LBs</t>
  </si>
  <si>
    <t>Total Budget (in Cr)</t>
  </si>
  <si>
    <t>Diagnostics</t>
  </si>
  <si>
    <t>HR and ASHA</t>
  </si>
  <si>
    <t>Planning &amp;  M &amp; E</t>
  </si>
  <si>
    <t>Others</t>
  </si>
  <si>
    <t xml:space="preserve">Equipment </t>
  </si>
  <si>
    <t>Surveillance, Research, Review, Evaluation</t>
  </si>
  <si>
    <t xml:space="preserve"> Training and Capacity building</t>
  </si>
  <si>
    <t>Area Specific Budget (in Cr)</t>
  </si>
  <si>
    <t>Geriatric Care at PHC/ SHC</t>
  </si>
  <si>
    <t>State remarks</t>
  </si>
  <si>
    <t xml:space="preserve">Community Based Intervention </t>
  </si>
  <si>
    <t>Drugs and supplies</t>
  </si>
  <si>
    <t>Family Planning Indemnity Scheme</t>
  </si>
  <si>
    <t>Poolwise summary</t>
  </si>
  <si>
    <t>Annexure : Untied Funds</t>
  </si>
  <si>
    <t xml:space="preserve">S.No. </t>
  </si>
  <si>
    <t>World Population Day and Vasectomy fortnight</t>
  </si>
  <si>
    <t>Wellness activities at HWCs- Urban</t>
  </si>
  <si>
    <t>Wellness activities at HWCs- Rural</t>
  </si>
  <si>
    <t>Eat Right Campaign</t>
  </si>
  <si>
    <t>Other Nutrition Components</t>
  </si>
  <si>
    <t xml:space="preserve">Blood Bank/BCSU/BSU/Thalassemia Day Care Centre </t>
  </si>
  <si>
    <t xml:space="preserve">Implementation of COTPA - 2003 </t>
  </si>
  <si>
    <t xml:space="preserve">Implementation of ToEFI guideline </t>
  </si>
  <si>
    <t>Health Management Information System (HMIS)</t>
  </si>
  <si>
    <t>Immunization including Mission Indradhanush</t>
  </si>
  <si>
    <t>Screening and Testing through facilities</t>
  </si>
  <si>
    <t>Screening and Testing through NGOs</t>
  </si>
  <si>
    <t>Development and operations of Health &amp; Wellness Centers - Urban</t>
  </si>
  <si>
    <t>Teleconsultation facilities at HWCs-Urban</t>
  </si>
  <si>
    <t>ASHA (including ASHA Certification and ASHA benefit package)</t>
  </si>
  <si>
    <t>Development and operations of Health &amp; Wellness Centers - Rural</t>
  </si>
  <si>
    <t>Teleconsultation facilities at HWCs-Rural</t>
  </si>
  <si>
    <t>CHO Mentoring</t>
  </si>
  <si>
    <t>FY 2022-23</t>
  </si>
  <si>
    <t>FY 2023-24</t>
  </si>
  <si>
    <t>Sub Plan (2022-2023)</t>
  </si>
  <si>
    <t xml:space="preserve">Total approved amount </t>
  </si>
  <si>
    <t>Sub Plan (2023-2024)</t>
  </si>
  <si>
    <t>New Work</t>
  </si>
  <si>
    <t>Amount in Rs. (Lakhs)</t>
  </si>
  <si>
    <t>Old / ongoing work</t>
  </si>
  <si>
    <t>Planning &amp; M&amp;E</t>
  </si>
  <si>
    <t>Sources of Funding</t>
  </si>
  <si>
    <t>Continued activity:- Fund for supporting CHCs in ODF block to achieve Kayakalp as per annexure attached</t>
  </si>
  <si>
    <t>1.Rs 1 lakhs proposed for training of community volunteers. 2. Rs 0.5 lakhs proposed for meeting with NGOs at state level. 3. Rs. 4.2 lakhs proposed for hiring vehicle at SHSB rate for monitoring of NVHCP. 4. Rs 5 lakhs proposed for Radio gingles/spots, news paper advertisment, Banners/Hoarding in each MTC, TC &amp; SL. 5. Rs 0.4 lakhs proposed for quaterly meetings of NVHCP.</t>
  </si>
  <si>
    <t>Continued Activity,
free spectacles provide to  the visually impaired  school children after refraction.</t>
  </si>
  <si>
    <t>Continued Activity,
free Presbyopic glasses provide to  the Old/Elderly People for the near work.</t>
  </si>
  <si>
    <t>*Strengthening of District Hospital of Eye Department, As per  the requirement of the districts for the Equipment/Instrument and for the Eye OT minor repairing work. (Amount for the activity - 4 districts@4000000= Rs.16000000)
* For strenghthen the Eye Care faciality in Subdivisional Hospital. As per  the requirement of the SDH for the Equipment/Instrument and for the Eye OT minor repairing work (Amount for the activity - 2 SDH@2000000= Rs.4000000)
*For strengthening of Old vision Centre and Establishment of New Vision Centre. (Amount for the activity - 20VC@100000= Rs.2000000)
*Support to the districts as per the of assesment/requriment  for maintance of equipment/instrument. (Amount for the activity - 5 Districts@500000= Rs.2500000)
As per the budget availability support to others Districts as same.</t>
  </si>
  <si>
    <t>Continued Activity:-
Cataract surgeries performed by the Ngos/PVT practitioners</t>
  </si>
  <si>
    <t>NPM and ME will continue training for 1 year at SMTI.</t>
  </si>
  <si>
    <t>(A) 
Continue Activity, Recurring internet cost for E-Raktakosh
Rs 8.10 lakh for monthly internet cost of Blood Center @ Rs. 1500 per month per Blood Center for 45 center.
Rs. 2.4 Lakhs for internet installation of 6 new Blood Center i.e. Motihari, Gaya, Supaul, Sheohar, GGSH Patnacity &amp; SDH Benipur Darbhanga. @ Rs. 40000
Rs. 8 Lakhs for Desktop Computor. @ Rs. 40,000 for 20 Desktop Computor in new blood centers Araria, Arwal, Banka, Sheohar, Supaul, Motihari, Gaya, Bhagalpur, GGSH Patna &amp; Benipatti Darbhanga for e-Raktkosh
Rs. 8 Lakh for printing of PVC Card
In Bihar Digital card is being provided to all Thalassemia &amp;  Hemophillia patients and Voluntary blood donors. in place of paper Donor card to minimize missuse of current Paper Donor card. It will improve data base for both ICHH &amp; Voluntary Blood Donation.
40000 cards @ Rs. 20. 
Total Rs. 8 Lakhs. 
Total 26.5 Lakh
(B)
1. Advertisement in News paper on World Thalassemia Day, Hemophillia Day, World Blood donors Day etc.
Total 20 Lakhs
2.  (i) 15 Lakh for Printing of Pumphlets, Poster, Banner and other IEC Materials
(ii) 15 Lakh for Printing of Registers, Formats etc. Blood Centers &amp; Day Care Center
Total 50 Lakhs</t>
  </si>
  <si>
    <t xml:space="preserve">Rs. 17.57 lakh proposed for internet connectivity (14.2.2)
Rs. 26.80 lakh proposed for training on DVDMS &amp; inventory management (9.5.23.4)
Rs. 19.76 lakh proposed for quarterly review meetings (10.4.7)
2. 
Old Activity: Roll-out of e-Aushadhi Software has been under taken in State with effect from 31st March 2017 for the 1st phase till District Hospital level and 2nd phase till PHC level and now in 3rd phase till APHC and HSC level. Further, the state has introduced a new intending policy in order to strenghen drug supply chain across the state. Total amount of Rs.132.73 lakh has been proposed with following break-up - 
(a.) online implementtaion team payment - Rs. 31.86 lakh,
(b.) Data Hosting including DB cluster app Cluster load balancer and 2-4 mbps dedicated link -12 month initiated inciated since go live - Rs.27.17 lakh,
(c.) Application software support - Rs.21.41 Lakh
(d.) IT Cell Model-1 Intiated since go live - Rs. 52.28 Lakh
</t>
  </si>
  <si>
    <r>
      <t xml:space="preserve">Diagnostics (Consumables, </t>
    </r>
    <r>
      <rPr>
        <b/>
        <sz val="12"/>
        <color theme="1"/>
        <rFont val="Arial Narrow"/>
        <family val="2"/>
      </rPr>
      <t>PPP</t>
    </r>
    <r>
      <rPr>
        <b/>
        <sz val="12"/>
        <color rgb="FF000000"/>
        <rFont val="Arial Narrow"/>
        <family val="2"/>
      </rPr>
      <t>, Sample Transport)</t>
    </r>
  </si>
  <si>
    <r>
      <t>Central supplies (Kind grants)</t>
    </r>
    <r>
      <rPr>
        <sz val="12"/>
        <color rgb="FF000000"/>
        <rFont val="Arial Narrow"/>
        <family val="2"/>
      </rPr>
      <t xml:space="preserve"> (To be provided by the PDs)</t>
    </r>
  </si>
  <si>
    <t>Continued Activity: 
Calculation: 38 Districts X 5 Dialysis Machines X 3 Dialysis session per machine X 300 days X Rs. 1745 per dialysis session. Also, Budget is proposed inclusive of an annual increment of 3.0%.
In addition to continued activity Rs. 20.00 lakh proposed for IEC activities (hoardings/ newspaper adds, etc.) + Rs. 10 lakhs proposed for regularly monitoring and evaluation of the services via field visits (inclusive of vehicles) in various districts.</t>
  </si>
  <si>
    <r>
      <rPr>
        <b/>
        <sz val="11"/>
        <color rgb="FF000000"/>
        <rFont val="Calibri"/>
        <family val="2"/>
      </rPr>
      <t xml:space="preserve">Continued activity : </t>
    </r>
    <r>
      <rPr>
        <sz val="11"/>
        <color rgb="FF000000"/>
        <rFont val="Calibri"/>
        <family val="2"/>
      </rPr>
      <t xml:space="preserve">(I) Post Graduate Diploma Course in Public Health Management. Budget Rs. Lakhs 13.00 @ Rs. 325000/- Per Persons (total Persons 04) and (II) Demand for DNB/CPS Course in Bihar Rs. 5,00,000/- </t>
    </r>
  </si>
  <si>
    <t>DSTB &amp; DR TB patient nutrition support for 80% of expected notification</t>
  </si>
  <si>
    <t xml:space="preserve">Continued Activity….
Procurement of 4.40 lakhs bottles of Vitamin A Syrup @ Rs. 110/ bottle for VAS program including transportation cost  from Ware house to District and upto PHC. Fund requirement: 110X440000 bottles X Round=Rs 48400000/-
</t>
  </si>
  <si>
    <t>Continued activity.
1. Direction has been given from SHSB to DHS Darbhanga to initiate tender process for selection of agency to operate 6 MMUs in the Darbhanga district. So OPEX of 6 months has been proposed:- 
            6 MMus x 6 Months  x @ Rs. 2,00,000/-  = Rs. 72,00,000/-
2. Direction has been given from SHSB to DHS Buxar to initiate tender process for selection of agency to operate 6 MMUs in the Darbhanga district. So OPEX of 6 months has been proposed:- 
            6 MMus x 6 Months  x @ Rs. 2,00,000/-  = Rs. 72,00,000/-
Total Amount = 12 MMUs x 6 Months  x @ Rs. 2,00,000/-  = Rs. 1,44,00,000/-</t>
  </si>
  <si>
    <t>Continued Activity
Drug and Supplies
As per U DISE 2020-21 data, 1,02,44,630 adolescents aged 10-19 years and as per estimate 42,02,735 (30%) girls aged 10-19 years are out of schools. Thus total 1,44,47,365 adolescents need to be supplemented with blue IFA tablet to combat anaemia among adolescent in the State. 
Tablets are also required for teachers, AWW and ASHAs they are 2,76,599 in number. 
Total 1,47,23,964 will be given blue IFA tablets for 52 weeks. Total 76,56,46,128 tablets are required. 50% of the total required tablet is budgeted  for the FY 2022-23. i.e 38,28,23,064@0.15 Paisa/Tablet</t>
  </si>
  <si>
    <t xml:space="preserve">1.1.5.6 - 5000/ Surgery (Total Rs.500X200 cases) 1.2.3.1- 12000/ Patient (Total Rs.1200X410 cases) 2.3.2.2 - 10000/RCS (Total Rs.10000X100cases), and This incentive has been added to clear up the existing back log of RCS patients and will be paid to persons coducting/involved in surgery belonging to Govt/NGO/Private set up.This will be paid after the patient is discharged from the center after  the surgery. </t>
  </si>
  <si>
    <t>9.5.13.1 - State &amp; District level Training, 9.5.13.2 - ASHAs Training (Rs.100 X 44070), 11.16.1 -  Mass media, Outdoor media, Rural media, Advocacy meeting ETC., 12.12.1 - Printing works (State &amp; District level), 16.1.2.1.20 - Rs.50000 per ReviewX4 Review meeting (state level),  16.1.3.1.11 -Travel expenses - 80000/ at state level , 16.1.3.1.12-Mobility Support: State Cell 36000 per month X 12 month at state level, 16.1.3.3.10- Travel expenses District level,  16.1.3.3.11 - Mobility Support at district level, 16.1.3.5.1 - Others: travel expenses  for regular staff.  16.1.4.1.8 - 75000/ at state level,  16.1.4.1.9 - 5000/ at state level , 16.1.4.2.4 - 40000/district, 16.1.4.2.5 -  35000/district, 16.1.5.2.3 - Procurement of computer table, computer cahir and godrej for Administrative Assistant  &amp; Xerox machin. etc.</t>
  </si>
  <si>
    <t xml:space="preserve">Continued activity: (1) Training on Survivors of Sexual violence, Budget Rs. Lakhs 2.36 @ Rs. 23600/- batch (total batches 10), (2) New Activity:  Sexual Assault Forensic Evidence (SAFE) Kits, The Ministry of Health and Family Welfare (MOHFW) made it compulsory (2014) to use SAFE (Sexual Assault Forensic Evidence) Kits in all rape/sexual assault cases where forensic evidence has to be collected. (One Kit= 600x100= 60,000/-)      </t>
  </si>
  <si>
    <t>1. Revised Compensation for male ster. As per MPV guideline- (Rs 152.50 lakhs- under DBT). 
2. Equipment- NSV kit- 172 kit@ Rs 2000= 3.44 lakhs. 
3. Capacity building- ToT (3 batch@ 130353= 3.91 lakhs + NSV traing- 18 batch @ Rs 42000= 7.56 lakhs. Toatl= 11.47 lakhs 
4. OOC- 616 FDS@Rs 5000= 30.80 
5. IEC &amp; Printing- 1.29 lakhs for male ster. related records &amp; registers</t>
  </si>
  <si>
    <t xml:space="preserve">1. DBT- 3 lakh doses @ Rs 100= 300 lakhs 
2. Capacity building- 38 batch @ Rs 32500 = 12.35 lakhs 
3. ASHa incentives- 3 lakh doses @ Rs 100= 300 lakhs 
4. IEC &amp; printing- 28.75 for MPA related records, registers &amp; information booklet  </t>
  </si>
  <si>
    <t xml:space="preserve">1. DBT- 63500 ster. Cases X Rs 50 = 31. 75 lakhs under FPIS. 
2. IEC &amp; Printing- 600 FPIS manual @ Rs 275 = 1.65 lakhs </t>
  </si>
  <si>
    <t xml:space="preserve">1.  Implementation of FPLMIS at 40 units @Rs 50000 = 20 lakhs 
 2.  IEC &amp; Printing- 0.30 lakhs for FPLMIS manual (50 unit @ Rs 600) </t>
  </si>
  <si>
    <t xml:space="preserve">1. IEC &amp; printing- 74 lakhs for WPD &amp; 74 lakhs for Vasectomy fortnight= 148 lakhs 
 2. Planning &amp; Monitoring- 3.80 lakhs as extra TA/DA to Surgeon to hard to reach area @ Rs 1000 X 380 units= 3.80 lakhs during WPD fortnight + .76 lakhs as extra TA/DA to Surgeon to hard to reach area @ Rs 1000 X 76 units= 0.76 lakhs  during male ster. fortnight. Total = Rs 152.56 lakhs </t>
  </si>
  <si>
    <t>Due to scale up of Jeeviak-SHG in 9 more districts other than 5 pilot districts and PND in full scale upto HWC-HSC</t>
  </si>
  <si>
    <t>Continued Activity. Budget is being proposed for 
1. incentive of ASHA under HBNC and HBYC program
2. HBYC training of ASHA , ASHA Facilitator and ANM
3. Procurement of HBYC-ECD kits
4. State, Regional and Disrict review meeting on HBNC and HBYC program</t>
  </si>
  <si>
    <t xml:space="preserve">Budget is being proposed for free treatment of under 12 months baby@200 per baby. It is estimated that 10% of total live birth is born as sick. </t>
  </si>
  <si>
    <t xml:space="preserve">Continued activity:-                                        Kayakalp assessment, Kayakalp award,contingency and fund for traversing gaps of Kayakalp   
2.
Continued Activity : 750 lakh is required for Services of Biomedical waste Management Including Colour coded plastic bags and Barcoding stickers as per Bio-medical waste Management Rules 2016 in all health care facilities in FY 2022-23 and 825 lakh  is required in FY2023-24 The amout is Expected to increse Because the new Common Biomedical Waste Treatment Facilities to be established with latest technology so the per bed per day cost for the services +  Services  charges  in healthcare Facilities below PHC may increase.     </t>
  </si>
  <si>
    <t>(i) Continued activity - 
a)  432 BLSA agency owned BLSAs are already approved. The proposal of OPEX @ Rs. 1,54,500/- per month per ambulances for 12 months. 
b)  125 Ambulances owned by Districts under various schemes, MP/MLA Lads are already approved. The proposal of OPEX @ Rs. 1,32,000/- per month per ambulances  for 12 months. 
c)  100 BLSAs are already approved. The proposal of OPEX @ Rs. 1,40,500/- per month per ambulances for 12 months. 
d)   120 ALSAs are already approved. For this the proposal of OPEX @ Rs. 1,58,400/- per month per ambulances  for 12 months.
e)   150 ALSAs are already approved. For this the proposal of OPEX @ Rs. 2,00,000/- per month per ambulances  for 12 months.
f)   93 Mortuary Vans are already approved. For this the proposal of OPEX @ Rs. 92,400/- per month per ambulances for 12 months. 
          The details are given bellow:-
a)  432 (Agency Owned BLSAs) x 12 x @ 1,54,500/-      =    80,09,28,000/-       b) 125 (MPs / MLAs Lad) BLSAs x 12 x @ 1,32,000/-  =    19,80,00,000/- 
c) 100 BLSAs x 12 x @ 1,40,500/-       =    16,86,00,000/-                                                d) 120 ALSAs x 12 x @ 1,58,400/-       =    22,80,96,000/- 
e) 150 ALSAs x 12 x @ 2,00,000/-       =    36,00,00,000/-                                              f)  93 MVs   x 12 x    @  92,400/-        =    10,31,18,400/-
                      Total  Amount     =   1,85,87,42,400/- 
(ii) New activity – 
*  The State is in the process of procuring 534 ALSA and 466 BLSA to strengthen the ambulance fleet and replace the 8 years and more than 8 years old ambulances to new one. For this tender process is on. 
* In the RoP of 2021-22 OPEX for 150 ALS ambulances @ Rs. 1,79,000/- is already approved by NHM as new activity in FMR Code 7.4.1.1. It is also to be mentioned here that in ECRP-II OPEX for 534 ALSA @ Rs. 2,00,000/- is approved by NHM in the FMR Code S.31.2.6 for 9 months.
 In the light of the above ECRP-II approval the State is in the process for procuring 534 ALSA through tender process. It is to be mentioned here that because OPEX of 150 ALSA is approved in RoP 2021-22. So, OPEX for additional 384 ALS ambulances is required in the RoP 2022-23 and 2023-24. Hence, required ambulance details to enhance and strengthen the fleet under new activity head is as follow:-
a)  384 New State owned ALS Ambulances. For this the proposal of OPEX @ Rs. 2,00,000/- per month per ambulances for 12 months. 
b) 268 New Agency owned BLS Ambulances. The proposal of OPEX @ Rs. 1,54,500/- per month per ambulances for 12 months
c) 57 New Agency  owned Mortuary Vans. The proposal of OPEX @ Rs. 1,10,000/- per month per ambulances for 09 months.
          The details are given bellow:-
a) 384 (State Owned ALSAs) x 12 x @ 2,00,000/-     =   92,16,00,000/-            b) 268 (Agency Owned BLSAs) x 12 x @ 1,54,500/-  =   49,68,72,000/-
c)  57 (Agency Owned MVs)  x 9 x @  1,10,000/-      =      5,64,30,000/-
Total Ambulances:  709   Total Amount = 1,47,49,02,000/-  
Grand Total  Amount [(i)+(ii)]= 1,85,87,42,400/- + 1,47,49,02,000/- =  3,33,36,44,400/-</t>
  </si>
  <si>
    <t xml:space="preserve">Continued Activity:-
An amoumt of Rs. 522.00  Crores was approved by NHM for construction of 696 HWC's since FY 2019-20 till current FY. @ 0.75 Crore per unit.
An amount of Rs. 202.85 Crore  has been released till FY 2021-22.
The balanace amount of Rs. 319.15 Crore is needed to complete the project.
The State solicits the approval for the same. </t>
  </si>
  <si>
    <t xml:space="preserve">Continued Activity:-
An amoumt of Rs. 134.70 Crores was approved by NHM for construction of (96+15=111 Day Care Centres)  till FY- 2021-22
An amount of Rs. 38.55 Crore was released.
The balanace amount of Rs. 96.15 Crore is needed to complete the project.
The State solicits the approval for the same. </t>
  </si>
  <si>
    <t xml:space="preserve">HSC Rent 
An amount of Rs. 20.832 Crore is required to cater the Sub Centre Rent Contingecies against 3472 units existing in the State @ Rs. 5000 per unit per month.
</t>
  </si>
  <si>
    <t>1. Continued Activity
Proposed Rs 5 Lakhs for infrastructure strengthening for 05 UPHC.</t>
  </si>
  <si>
    <t>1. Continued Activity 
Proposed Yoga session @ Rs 250/session for 10 session /UPHC-HWC per month for 110 existing UPHC-HWC.
Total= Rs 250*10*12 months*110= 33,00,000
2. Continued Activity
Proposed Rs. 50000 per UPHC-HWC for recurring cost for lab services in UPHC-HWCs as per CPHC guideline. 
Total = Rs 50000*110= Rs 55,00,000 
3. Continued Activity 
Proposed Rs. 6 Lakh per UPHC-HWC for Drugs &amp; consumables supplies  for 110 existing UPHCs-HWC
Total = Rs 600000*110= 6,60,00,000 
4. Continued Activity
IT support @ 5000 per UPHC-HWC as per HWC guideline (Rs 5000*110= 5,50,000)
5. Continued Activity
@ Rs 40000/ UPHC-HWCs for the independent monitoing as per CPHC guideline
Total = Rs 40,000*25 UPHC=10,00,000.</t>
  </si>
  <si>
    <t>1. Continued Activity : 
Proposed @ 5000 for 150 MAS Training
Rs. 5000*150 MAS=7,50,000</t>
  </si>
  <si>
    <t>1. Continued Activity 
Proposed Rs.4,000/- per RKS Training for 110 UPHCs
110*5000= 5,50000</t>
  </si>
  <si>
    <t>1. Continued Activity 
For Mobility Support Rs 125 for each ANM for every month as per outreach sessions for Urban Areas guideline
Rs 125*500 ANM *12 months =Rs 7,50,000
2. Continued Activity 
Proposed for Rs. 250 per UHNDs per month per ANM. 4 UHNDs per ANM per month for 12 month for 500 ANM for existing 100 UPHC-HWC ( Rs 250*500 ANM *12 months) = Rs 15,00,000 
3. Continued Activity 
Proposed Rs. 10,000 per Camp for 4 camps for existing 110 UPHCs  (Rs. 10,000*4 session *110 UPHCs= Rs 44,00,000) 
Reamining 16 Distrcits- 14 camps /Distrcits = 10000*4*16= 6,40,000 
Total = Rs. 4400000+640000= 50,40,000/-</t>
  </si>
  <si>
    <t xml:space="preserve">1. Continued Activity
proposed for ULB Training/ Orientation per district @50000 for  ULB Training/ Orientation for 37 Districts and @ Rs 1 lakh for District patna and @ Rs 1 lakh for State
Total = (50000*37)+100000+100000= 2050000 </t>
  </si>
  <si>
    <r>
      <t xml:space="preserve">1. Continued Activity </t>
    </r>
    <r>
      <rPr>
        <sz val="11"/>
        <color indexed="8"/>
        <rFont val="Calibri"/>
        <family val="2"/>
      </rPr>
      <t xml:space="preserve">
Proposed training for QA  for  1 batch of  potential facilities 
Total= 335000*1= 3,35,000
</t>
    </r>
    <r>
      <rPr>
        <b/>
        <sz val="11"/>
        <color indexed="8"/>
        <rFont val="Calibri"/>
        <family val="2"/>
      </rPr>
      <t xml:space="preserve">
2.Continued Activity :</t>
    </r>
    <r>
      <rPr>
        <sz val="11"/>
        <color indexed="8"/>
        <rFont val="Calibri"/>
        <family val="2"/>
      </rPr>
      <t xml:space="preserve">
Proposed QA certification/assessemnt of 06 UPHCs 
a) State Level Assessment  @ 50000  for 6 UPHCs- Rs 50000*6= 300,000
 b) National level Assessment @ Rs 96000 *3 = Rs 288,000 , Total- 300,000+ 288,000 = Rs 5,88,000
3</t>
    </r>
    <r>
      <rPr>
        <b/>
        <sz val="11"/>
        <color indexed="8"/>
        <rFont val="Calibri"/>
        <family val="2"/>
      </rPr>
      <t>. Continued Activity :</t>
    </r>
    <r>
      <rPr>
        <sz val="11"/>
        <color indexed="8"/>
        <rFont val="Calibri"/>
        <family val="2"/>
      </rPr>
      <t xml:space="preserve">
Proposed @ Rs. 25000 per UPHC-HWC for 09 UPHCs. This fund will be utilised to full fill the gap and strengthening of UPHC under QA- based on gap assessment . Total =Rs 25,000*09 UPHCs=2,25,000
4</t>
    </r>
    <r>
      <rPr>
        <b/>
        <sz val="11"/>
        <color indexed="8"/>
        <rFont val="Calibri"/>
        <family val="2"/>
      </rPr>
      <t>. Continued Activity:</t>
    </r>
    <r>
      <rPr>
        <sz val="11"/>
        <color indexed="8"/>
        <rFont val="Calibri"/>
        <family val="2"/>
      </rPr>
      <t xml:space="preserve">
Proposed 9 quality assurance/Kayakalp workshop at regional level @ Rs 25000/workshop
Total= Rs 25000*9=  Rs 2,25,000
</t>
    </r>
  </si>
  <si>
    <r>
      <t xml:space="preserve">1. Continued Activity
Mobility: 
</t>
    </r>
    <r>
      <rPr>
        <sz val="11"/>
        <color indexed="8"/>
        <rFont val="Calibri"/>
        <family val="2"/>
      </rPr>
      <t xml:space="preserve">Proposed Rs 35000 for SPMU for 12 months. Total  Rs 35,000*12 month=Rs 4,20,000
</t>
    </r>
    <r>
      <rPr>
        <b/>
        <sz val="11"/>
        <color indexed="8"/>
        <rFont val="Calibri"/>
        <family val="2"/>
      </rPr>
      <t xml:space="preserve">2. Continued Activity </t>
    </r>
    <r>
      <rPr>
        <sz val="11"/>
        <color indexed="8"/>
        <rFont val="Calibri"/>
        <family val="2"/>
      </rPr>
      <t xml:space="preserve">
Proposed Rs 25000 for DPMU for 12 months. Total= Rs 25000*12*22=Rs  66,00,000
</t>
    </r>
    <r>
      <rPr>
        <b/>
        <sz val="11"/>
        <color indexed="8"/>
        <rFont val="Calibri"/>
        <family val="2"/>
      </rPr>
      <t xml:space="preserve">3.Continued Activity </t>
    </r>
    <r>
      <rPr>
        <sz val="11"/>
        <color indexed="8"/>
        <rFont val="Calibri"/>
        <family val="2"/>
      </rPr>
      <t xml:space="preserve">
Proposed Rs 35000 for CPMU for 12 months. Total  Rs 35,000*12 month=Rs 4,20,000
</t>
    </r>
    <r>
      <rPr>
        <b/>
        <sz val="11"/>
        <color indexed="8"/>
        <rFont val="Calibri"/>
        <family val="2"/>
      </rPr>
      <t>4. Continued Activity
Administrative Expenses:</t>
    </r>
    <r>
      <rPr>
        <sz val="11"/>
        <color indexed="8"/>
        <rFont val="Calibri"/>
        <family val="2"/>
      </rPr>
      <t xml:space="preserve">
Proposed @ Rs 50000/ month. Total  Rs 50,000*12 month=Rs 6,00,000
</t>
    </r>
    <r>
      <rPr>
        <b/>
        <sz val="11"/>
        <color indexed="8"/>
        <rFont val="Calibri"/>
        <family val="2"/>
      </rPr>
      <t>5. Continued Activity</t>
    </r>
    <r>
      <rPr>
        <sz val="11"/>
        <color indexed="8"/>
        <rFont val="Calibri"/>
        <family val="2"/>
      </rPr>
      <t xml:space="preserve">
Proposed @ Rs 10000/month for 22 Districts. Total  Rs 10,000*12 month*22 Districts =Rs 26,40,000
</t>
    </r>
    <r>
      <rPr>
        <b/>
        <sz val="11"/>
        <color indexed="8"/>
        <rFont val="Calibri"/>
        <family val="2"/>
      </rPr>
      <t xml:space="preserve">6. Continued Activity </t>
    </r>
    <r>
      <rPr>
        <sz val="11"/>
        <color indexed="8"/>
        <rFont val="Calibri"/>
        <family val="2"/>
      </rPr>
      <t xml:space="preserve">
Proposed @ Rs 25000/ month for 1 CPMU, Patna. Total  Rs 25,000*12 month=Rs 3,00,000
</t>
    </r>
    <r>
      <rPr>
        <b/>
        <sz val="11"/>
        <color indexed="8"/>
        <rFont val="Calibri"/>
        <family val="2"/>
      </rPr>
      <t xml:space="preserve">7. Continued Activity </t>
    </r>
    <r>
      <rPr>
        <sz val="11"/>
        <color indexed="8"/>
        <rFont val="Calibri"/>
        <family val="2"/>
      </rPr>
      <t xml:space="preserve">
for existing 113 CUG Sim @ Rs 500/month for 12 months= 113*12*500=678000
500 CUG SIM for ANMs tablet for 12 months - @ Rs 250*500*12 = Rs 1,500,000
Total = 678000+1,500,000 = Rs 2,178,000
</t>
    </r>
    <r>
      <rPr>
        <b/>
        <sz val="11"/>
        <color indexed="8"/>
        <rFont val="Calibri"/>
        <family val="2"/>
      </rPr>
      <t xml:space="preserve">8. Continued Activity </t>
    </r>
    <r>
      <rPr>
        <sz val="11"/>
        <color indexed="8"/>
        <rFont val="Calibri"/>
        <family val="2"/>
      </rPr>
      <t xml:space="preserve">
Proposed @ Rs.1000 per participant  MO (220) &amp; DEO (110), DM&amp;EO (38), RM&amp;EO (09) and 3 other participants for capacity building on HMIS and other reportings for 110 UPHC-HWCs. At regioan/State level
380*1000= 3,80,000
</t>
    </r>
    <r>
      <rPr>
        <b/>
        <sz val="11"/>
        <color indexed="8"/>
        <rFont val="Calibri"/>
        <family val="2"/>
      </rPr>
      <t xml:space="preserve">9. Continued Activity </t>
    </r>
    <r>
      <rPr>
        <sz val="11"/>
        <color indexed="8"/>
        <rFont val="Calibri"/>
        <family val="2"/>
      </rPr>
      <t xml:space="preserve">
Proposed Rs 2000/ UPHC for 110 existing UPHC for 4 quarters at District Level
Total = 2000*110*4=8,80,000</t>
    </r>
  </si>
  <si>
    <r>
      <t xml:space="preserve">1. Continued Activity 
</t>
    </r>
    <r>
      <rPr>
        <sz val="11"/>
        <color indexed="8"/>
        <rFont val="Calibri"/>
        <family val="2"/>
      </rPr>
      <t xml:space="preserve">Proposed Rs. 1,50,000/- for 20 govt. Building UPHC-HWCs.
Total = 150000*20 = Rs 30,00,000
</t>
    </r>
    <r>
      <rPr>
        <b/>
        <sz val="11"/>
        <color indexed="8"/>
        <rFont val="Calibri"/>
        <family val="2"/>
      </rPr>
      <t xml:space="preserve">2. Continued Activity </t>
    </r>
    <r>
      <rPr>
        <sz val="11"/>
        <color indexed="8"/>
        <rFont val="Calibri"/>
        <family val="2"/>
      </rPr>
      <t xml:space="preserve">
Proposed Rs. 1,00,000/- per UPHC for 90 existing rented UPHC-HWCs for one year -100000*90 = Rs 90,00,000 . 
</t>
    </r>
    <r>
      <rPr>
        <b/>
        <sz val="11"/>
        <color indexed="8"/>
        <rFont val="Calibri"/>
        <family val="2"/>
      </rPr>
      <t xml:space="preserve">3.Continued Activity </t>
    </r>
    <r>
      <rPr>
        <sz val="11"/>
        <color indexed="8"/>
        <rFont val="Calibri"/>
        <family val="2"/>
      </rPr>
      <t xml:space="preserve">
Proposed Rs. 5000 Per MAS for existing 843 MAS.
Total = 5000*843 = Rs 42,15,000</t>
    </r>
  </si>
  <si>
    <t xml:space="preserve"> Continued Activity         One Dental X- Ray (DC) + one RVG machine per district hospital. Work order was given to BMSICL by SHSB letter no. 9081 dated 05.03.2020 for procurement and establishment of Dental X-Ray (DC) + RVG machine in each district hospital of the state. Meeting for finalization of technical specifications and pre bid for Radio Visio Graph with Dental X-Ray machine was done by BMSICL on 29.12.2020, 18.01.2021,  21.06.2021 and 24.08.2021. Demonstration of RVG+Dental X-Ray machine was done on 28.12.2021 and 10.10.2022. Tender process is in final stage and will be completed soon. 4lack * 37 DH = 148 lacks.</t>
  </si>
  <si>
    <t xml:space="preserve">(1)  Rs.5 lakhs proposed for Capacity Building of District Appropriate Authorities and Nodal Officers under FMR code 9.5.21.1. (2) Rs.45.45 lakhs proposed for IEC under FMR Code 11.9.1 &amp; 11.9.2. (Radio jingles/ Video spots,News Paper advertisment, &amp; Wall writings at health facilities. (3) Rs.20.53 lakhs proposed for different activities ,(a) Rs.4 lakhs for Monitoring &amp; Inspection &amp;(b) Rs. 3.13 lakhs for State level Gender Sensitization workshop (c) Rs.11.40 lakhs proposed for District level GenderSensitization workshop @30,000 for each district (d) Rs.2 lakhs for Sensitization of Judicial officers &amp; other line departments </t>
  </si>
  <si>
    <t xml:space="preserve">Continued activity. Budget of Rs. 200.00 Lakhs has been proposed for Category- 1. Procurement. 1.2. Rs. 200.00 Lakhs for Anti rabies vaccine/Anti rabies serum for animal bite victims (App. 2.5 Lakhs dog bite cases reported annualy in the state. Base on indent, fund proposed for ARV @ Rs. 144/ vail and ARS @ Rs. 3800/ vial. Continued activity. Budget of Rs. 2.14 Lakhs has been proposed for Category- 2. Training and Capacity building. 2.1. Rs. 2.14 Lakhs for 1 training of MO and HW at block level for 534 blocks. Continued activity. Budget of Rs. 3.80 Lakhs has been proposed for Category- 3. Printing of formats under NRCP. 3.1. Rs. 3.80 Lakhs has been proposed for printing of formats, banners and posters under NRCP.  Continued activity. Budget of Rs. 3.59 Lakhs has been proposed for Category- 4. Programme management. 4.1. Rs. 3.59 Lakhs for Monitoring and surveillance (Review meeting, Travel) under NRCP. Rs. 8000/ NRCP review meeting at district level and Rs. 25000/meeting at state level. Rs. 30000 for hiring vehicles for monitoring and surveillance at state lavel. </t>
  </si>
  <si>
    <t>Continued activity. Budget of Rs. 2.40 Lakhs has been proposed for Category- 1. Training and Capacity building. 1.1. Rs. 0.5 Lakhs for 1 day Training of MO and HW (District Nodal Officer) at State level; 1.2. Rs. 1.90 Lakh for 1 day training of Nodal Officer/Consultant for sensiitization on climate change. Continued activity. Budget of Rs. 2.00 Lakhs has been proposed for Category- 2. Review, Research, Survey and Surveillance. 2.1. Rs. 2.00 Lakhs for research on climate variable, developing digital app, statistical analysis, vulnerability assessment for disaster management. Continued activity. Budget of Rs. 4.10 Lakhs has been proposed for Category- 3. IEC/BCC. 3.1. Rs. 4.10 Lakhs for radio jingles and printing of poster and banners related to Air pollution and Heat Wave for 37 DH and 4 sentinnel sites. Continued activity. Budget of Rs. 0.40 Lakhs has been proposed for Category- 4. Programme Management. 4.1. Rs. 0.02 Lakhs for biannual state level task force meeting. 4.2. Rs. 0.38 Lakh for district level district task force meetinf for 38 districts @ Rs. 1000/ district.</t>
  </si>
  <si>
    <t xml:space="preserve">Continued activity. Budget of Rs. 60.50 Lakhs has been proposed for Category- 1. Service Delivery (Fcaility Based). 1.1. Rs. 27.50 Lakhs for 11 districts, for providing medical/surgical treatment to the patient suffering from fluorosis cases (dental/skeleton etc.) as well to provide equipment for rehabilitation like tri-cycle and others. 1.2. Rs. 33.00 Lakhs for 11 districts to test the level of fluoride in the water of affected areas. Ion-meter is required in 11 identified districts. Continued activity. Budget of Rs. 3.30 Lakhs has been proposed for Category- 2. Training and Capacity building. 2.1. Rs. 3.30 Lakhs for Training of Medical/Paramedical personal at district level to identify, treatment of prevention of Fluorosis cases. Continued activity. Budget of Rs. 13.00 Lakhs has been proposed for Category-3 . IEC/BCC. 3.1. Rs. 2.00 Lakhs for state and 11.00 Lakhs for 11 affected districts for IEC/BCC activities. Continued activity. Budget of Rs. 4.62 Lakhs has been proposed for Category- 4. Programme Management. 4.1. Rs. 3.30 Lakhs for conducting coordination meeting with different dept and other stakeholders at district level (11 districts) @ 1500 biannually. 4.2. Rs. 1.32 Lakhs for field visit of fluorosis consultant, LTs and field workers to identify the cases, collect water for testing and other related work under NPPCF. </t>
  </si>
  <si>
    <t>TBDC Buliding in Patna</t>
  </si>
  <si>
    <t>3. Procurement of satrangi chadar for  (DH to APHC) Total 1,72,522 Satrangi Chadar X Rs. 431 = Rs. 74356982</t>
  </si>
  <si>
    <t>1. IT-PMU Cell has been operating in the office of State Health Society, Bihar for ensuring timely data reporting, analysis and monitoring of different web portal of GoI / State. The above IT-PMU Cell has been outsourced through tendering process. The discovered unit cost per month is Rs. 4.36 lakh (including GST).
Hence, Total fund proposed for 12 months : 52.39 Lakh 
2.
RFP for emplanment of agency for HRMS implementation.</t>
  </si>
  <si>
    <t>30 New UPHC has been proposed in FY 22-23 and remuneration for new post has been proposed only for 1 month in FY22-23. For FY23-24 remuneration proposed for 6 months for new HR Post.</t>
  </si>
  <si>
    <t>Due to scale up of 30 new UPHCs in 16 new city.</t>
  </si>
  <si>
    <t xml:space="preserve">Due to increase of MAS members training
</t>
  </si>
  <si>
    <t>Expecting increase in PPIUCD &amp; PAIUCD services at UPHCs</t>
  </si>
  <si>
    <t>Number of UPHCs icreased from 110 to 140 UPHCs and outsourcing cost demanded for 12 months (As minimum wages revised in every six months)</t>
  </si>
  <si>
    <t>Number of UPHCs icreased from 110 to 140 UPHCs.</t>
  </si>
  <si>
    <t xml:space="preserve">1. Equipment- 534 OT table at CHC @ Rs 50000= 267 lakhs. 
 2. Procurement -  18 mama-U &amp; sister -U @ Rs 40000 &amp; 9 units of Zoe model @ Rs 1 lakh= 16. 20 lakhs 
3. Capacity building- 2246 X Rs 5000 for ASHA orientation on FPLMIS= 112.30 + State level orientation on technical manual @ Rs 3 lakhs + 534 orientation of SN/ANM on FPLMIS @ Rs 10000= 53.40 lakhs + District level Dissemination orientation (534 block s@ Rs 3000= 16.02 lakhs + 20 batches of RMNCHA counselor (6 days)@ 4.78 per batch= Rs 95.60 lakhs + Training on oral pillls to SN/ANM (38 batc @Rs 32500)= 12.35 lakhs + 38 batch of CHO training on FP@ Rs 135000= 51.30 lakhs . Total= 343.97 lakhs
4. ASHA incentives- 30000 case under ADY/ESB (Delaying &amp; Spacing) @ Rs 500= 150 lakhs  + 40000 cases under ADY/ESB (Limiting) @ Rs 1000= 400 lakhs  Total= 550 lakhs 
5. OOC- 3382 Condom boxes &amp; Contraceptive tray @ Rs 800= 27.06 + POL under FP= 127.11 lakhs. Total= 154.17 lakhs 
6. IEC &amp; printing- Mass media- 96 lakhs + IPC- 6.82 + PAFP maual- .14 lakhs + RMNCHA counseling manual- 3.75 lakhs+ MEC wheel- 3.50 lakhs + ASHA leaflet- 10 lakhs + Contraceptives distribution &amp; counseling- 25 lakhs + PND service &amp; Report register- Rs 9 lakhs + OCP ref. manual- 2.75 lakhs. Total= 156.96 lakhs
 7. FP QAC meeting at State, Regional &amp; district level- 4.80 lakhs + FP review meeting at state &amp; regional level- 7.50 lakhs. total= 12.30 lakhs </t>
  </si>
  <si>
    <r>
      <t xml:space="preserve">1. Continued Activity
</t>
    </r>
    <r>
      <rPr>
        <sz val="11"/>
        <color indexed="8"/>
        <rFont val="Calibri"/>
        <family val="2"/>
      </rPr>
      <t>Proposed- Best performing at Regional- 9 division * Rs 10000= Rs 90000; 
PPIUCD- 12 Case per UPHC @ Rs. 150 per case(110*12*150)=1,98,000
PAIUCD- 6 Case per UPHC @ Rs. 150 per case(110*6*150)=99,000
 total budget Rs. 3,87,000</t>
    </r>
  </si>
  <si>
    <t xml:space="preserve">1. Control &amp; Command Centre – Command and Control Centre has been developed by Piramal Foundation (Supported by BMGF), and they have been providing HR &amp; IT support to run in state. It has been established and functioning at State Level for analyzing Data Reported on different portals/apps of GoI /State for regular monitoring of health services being provided. The Command &amp; Control Centre also do the monitoring of Health facilities through CCTV System. Hence the recurring cost for its functioning is proposed. The fund of Rs. 24.00/- Lakh for FY: 2022-23 &amp; Rs.26.40/- Lakh for FY: 2023-24 has been proposed Comprehensive Annual Maintenance cost for Command &amp; Control Centre (Sify lease line, Software devices, IT equipment’s &amp; Electronics. 
2.Bihar Health System Digitization - 1. Based on approval given in ROP 2021-22 under FMR Code:  17.5, the pilot implementation of Bihar Health System Digitization was undertaken in 2021 at 3 health facilities in the district of Muzaffarpur (DH-Muzaffarpur, RH-Sakra &amp; CHC-Kurhani) for Stat-wise roll-out of Bihar Health System Digitization project, request for proposal (RFP) has been floted by State Health Society, Bihar as per scope of work of the RFP, the fund of Rs.10200 lakh in FY: 2022-23 &amp; Rs.9900.00 lakh in FY:2023-24 has been proposed for application, development, deployment, IT infrastructure and Project Management Unit. The detail of proposal has been attached as Annexure-Bihar Health System Digitization. </t>
  </si>
  <si>
    <t>Bihar</t>
  </si>
  <si>
    <t>1399+ 8570</t>
  </si>
  <si>
    <t>eVIN Operational Cost</t>
  </si>
  <si>
    <t>Fund requested for the purchase of Temprecature Logger, Mobile Hand set, Capacity Building of CCH, Remuneration for EVIN HR, Mobility support to eVIN HR etc inckuding Operational Cost &amp; Management Cost for UNDP. The Approved amount will be transfer to UNDP through MoA for operationa of eVIN</t>
  </si>
  <si>
    <r>
      <t xml:space="preserve">1. Continued Activity 
</t>
    </r>
    <r>
      <rPr>
        <sz val="11"/>
        <color indexed="8"/>
        <rFont val="Arial Narrow"/>
        <family val="2"/>
      </rPr>
      <t xml:space="preserve">Proposed training for QA  for  District (UH consultant-22),UPHC-MO-100, State and other -06 at regional/state level in 4 batches in 4 clusers @ Rs 104000 (State has divided entire state into 5 different clusters as per Kayakalp guideline)
Total= 104000*4= 4,16,000
</t>
    </r>
    <r>
      <rPr>
        <b/>
        <sz val="11"/>
        <color indexed="8"/>
        <rFont val="Arial Narrow"/>
        <family val="2"/>
      </rPr>
      <t>2. Continued Activity :</t>
    </r>
    <r>
      <rPr>
        <sz val="11"/>
        <color indexed="8"/>
        <rFont val="Arial Narrow"/>
        <family val="2"/>
      </rPr>
      <t xml:space="preserve">
State has divided all UPHC-HWCs into 5 clusters :
1) Budget of Rs 10 lakh for 5 winning facilities @ 2 lakh each
2) Budget of Rs 7.5 lakh for 5 1st runner up facilities @ Rs 1.5 lakh
3) Budegt of Rs 10 lakh for the commendation award for 20 UPHCs @ 0.50 lakh
Total = Rs 10 lakh+7.5 lakh+10 lakh= 27,50,000</t>
    </r>
    <r>
      <rPr>
        <b/>
        <sz val="11"/>
        <color indexed="8"/>
        <rFont val="Arial Narrow"/>
        <family val="2"/>
      </rPr>
      <t xml:space="preserve">
3. Continued Activity :</t>
    </r>
    <r>
      <rPr>
        <sz val="11"/>
        <color indexed="8"/>
        <rFont val="Arial Narrow"/>
        <family val="2"/>
      </rPr>
      <t xml:space="preserve">
a) Internal Assessment of 110 UPHC-HWCs - Rs 500*110= Rs 55000
b) Peer Assessment of 110 UPHC-HWCs-5000*110=Rs 550,000
c) External Assessment of 25 UPHC-HWCs- Rs 8000*25= Rs 440,000
Total = Rs 55000+Rs550,000+Rs 440,000= Rs 10,45,000
</t>
    </r>
    <r>
      <rPr>
        <b/>
        <sz val="11"/>
        <color indexed="8"/>
        <rFont val="Arial Narrow"/>
        <family val="2"/>
      </rPr>
      <t>4. Continued Activity :</t>
    </r>
    <r>
      <rPr>
        <sz val="11"/>
        <color indexed="8"/>
        <rFont val="Arial Narrow"/>
        <family val="2"/>
      </rPr>
      <t xml:space="preserve">
Proposed Rs. 10000 per UPHC-HWC for 25 UPHCs. This fund will be utilised to full fill the gap and strengthening of UPHCs under Kayakalp based on the gap.
Total =10000*25=Rs 2,50,000</t>
    </r>
  </si>
  <si>
    <t>Continued activities:  
Transportation Cost of JSSK Patients @ Rs. 500/- per delivery x 2257500 (Total number of delivery) = 1,12,87,50,000/-
                   Total  Amount =   Rs.  1,12,87,50,000/</t>
  </si>
  <si>
    <t>Continued activity. Category-1. Diagnostics (Consumables, PPP, Sample Transport). 1.1. Budget of Rs. 13.30 Lakhs, has been proposed for 'sample transport to NCDC, Delhi' in case of outbreak investigation of notifiable diseases @ Rs. 35000/ district for 38 districts. Budget of Rs. 21.33 Lakhs has been proposed for Category- 2. Training and Capacity building. 2.1. Rs. 3.20 Lakhs for 1 day Training of MO at district level for each block; 2.2. Rs. 0.36 Lakhs for 1 day training of Doctors at MCH level (6 MCH); 2.3. Rs. 2.67 Lakhs for 1 day training of Hospital Pharmacists/Nurses at district level (38 district); 2.4. Rs. 1.32 Lakhs for 3 days training of Lab Tech. at MCH level (6 MCH); Rs. 0.30 Lakhs for 2 days training of Data Managers at state level; Rs. 0.30 Lakhs for 2 days training of Data Operators at state level; Rs. 10.67 for 1 day training of ASHA faciliator for 4269 ASHA facilitators across state; Rs. 2.40 for training of ANM, LTs at block level (534 blocks); Rs. 0.10 Lakh for training on emerging and re-emerging diseases like Ebola, H1N1, CCHF, Zika, Scrub typhus etc. at state level. Continued activity. Budget of Rs. 21.50 Lakhs has been proposed for Category- 3. Review, Research, Surveys and Surveillance. 3.1. Rs. 4.0 Lakhs for rate contract of Lab equipment for 1 DPL (PMCH, Patna); Rs. 7.50 Lakhs for referal labs for ongoing activities for 5 Units @ 1.50 Lakhs; Rs. 10 Lakhs for 5 referal Labs @ 2 Lakhs/Lab. Continued activity. Budget of Rs. 3.80 Lakhs has been proposed for Category- 4. Printing of various items 3.1. Rs 3.8 Lakhs for 38 districts @ 10000/district. Continued activity. Budget of Rs. 71.03 Lakhs has been proposed for Category- 5. Programme Management. 5.1. Rs. 6.00 Lakhs for IDSP meetings at State and district level; 5.2. Rs. 0.57 Lakh for mobility at State level; 5.3. Rs. 21.66 Lakhs for mobility at district level for 38 district @ Rs. 57,000; 5.4. Rs. 39 Lakhs for Office expenses/ miscellaneous actvities for 38 district and 1 SSU @ 100000; 5.5. Rs. 3.80 Lakhs for minor repair for 38 district @ Rs. 10000/ district.</t>
  </si>
  <si>
    <t>JAS will constituted at further HSC-HWCs  VHSNC - Untied Fund
Calculation based on 4 districts for revenue village level X 10000/- each revenue village
other 34 districts for Panchayat X 5000/- each
e.g. 3806 X 10000 + 7609 x 5000 = 7,61,05,000/- (In FY 2023-24 Rs. 10000/- for all 11415 VHSNC.</t>
  </si>
  <si>
    <t>Number of CHOs will increase by next year. So more number of mentors will be required</t>
  </si>
  <si>
    <t>Continue Activity 1:-
A fully operational state-of-the-art call centre based Grievance Redressal System with health helpline has already been established and functional at Patna in ppp mode with PIRAMAL SWASTHYA The whole services will be routed through dedicated toll free number 104. There will be process of recording and escalating grievances to respective stakeholder, provide basic medical advices &amp; counselling, nearest healthcare facilities and directory services. During COVID-19 104 Call Centre declared as a State Control Room . Total 75 seats (30 in 1st shift+30 in 2nd shift+15 in 3rd shift) will be there in the call centre. Total cost requested is approx Rs 436.70 lacs (Approx 0.49 lakh x 75 seats (30 in 1st shift+30 in 2nd shift+15 in 3rd shift) x 12 months) with tollfree and outgoing call cost as well as SMS cost &amp; etc.
Key Progress Indicator:
Average Call Time: 3.15 Minutes
Average Call Per Seat: 86
04 seats (dedicated) functional as a ECD Call Centre included in proposed 104 Call Centre cost. 
The 104 call centre run by outsourced agency with CAPEX &amp; OPEX on BOOT model.
Continue Activity 2:- Grievance Redressal Desk - SUMAN
As per SUMAN Conceptual Framework Grievance Redressal Desk has to be established at Facilities through PIRAMAL SWASTHYA with complete integration between GR Help Desk and 104 Call Centre. 
GR Helpdesk infrastructure created at  38 facilities (36 DHs and 2 SDHs facilities at remaing Districts) and HR deployed soon then it made functional accordingly at  38 facilities (36 DHs and 2 facilities at remaing Districts).
HR Cost (with Computer System) in 2 shift for GR-Helpdesk in as per contract agreement with PIRALAM SWASTHYA @ Rs.48857 per month/GR Helpdesk and others telephone/internet/stationary etc. Rs.1000/- per month/GR-Helpdesk. 
An amount of Rs 227.35 Lakhs is being demanded for execution &amp; continuity of GR Helpdesk at  38 facilities (36 DHs and 2 facilities at remaing Districts).
09 new Helpdesk establishment at 09 MCHs @ Rs.48857 per month/GR Helpdesk and others telephone/internet/stationary etc. Rs.1000/- per month/GR-Helpdesk and infrastructure cost one time @Rs.50000/- per GR-Helpdesk. 
Calculation:
For 38 Helpdesk @Rs.49857(HR Cost + Computer+others) x 38 x 12 month) = 227.35 Lakhs.
For 09 new Helpdesk @Rs.49857(HR Cost + Computer+others) x 38 x 12 month) + Rs.50000/- one time per GR-Helpdesk(50000*9) = 58.35 Lakhs.
Total for 47 GR-Helpdesk=285.70 lakhs
Grand Total (Activity-1 &amp; Activity-2):- 722.40 lakhs (436.70 lakhs for Activity-1 + 285.70 lakhs for Activity-2)</t>
  </si>
  <si>
    <t>Continue activity
Transfusion supportto JSSK Beneficiaries
Total Rs 150 Lakhs
Earlier Rs. 300 was transferred to RKS against each blood transfusion given to JSSK beneficiaries only. As suggested by blood cell NHM, to provide free blood to all beneficiaries admitted in public health facilities in virtue of zero out of pocket expenditure and transfusion fee Rs. 300 will be transferred to Blood banks for procurement of kits and consumable.</t>
  </si>
  <si>
    <t xml:space="preserve">(BMWM)In Financial year 2023-24 the number of healthcare facilities has increased that is 533 PHC/CHC at the rate of 1.5 lakh per so the total budget required is 799.5 lakh.   </t>
  </si>
  <si>
    <t>Due to increase in number of ASHA to 977 in year 2023-24</t>
  </si>
  <si>
    <t xml:space="preserve">Continued Activity:
Proposed incentive for ANM @ Rs. 1500 for 500 ANM = 1500*500*12 month = Rs. 90,00,000/-
Proposed incentive for ASHA  @ Rs. 1000 for 700 ASHA = 1000*700*12 month = Rs. 84, 00, 000/-
Total Rs. = 90,00,000+84,00,000= Rs. 1, 74, 00,000/-
</t>
  </si>
  <si>
    <t>Payment of HR Agency and other recruitment related activity.</t>
  </si>
  <si>
    <t>1. Continued Activity 
Proposed Rs. 5 per Household * 100000 HH= 5 lakh  for Mapping of slums and vulnerable population in different cities.  This amount would be paid to ASHA.</t>
  </si>
  <si>
    <t xml:space="preserve">DBT: Payment of engaged private provider in Nikshay and involved in notification, Estimated 20%TB informants to be incentivised (includes the informats during ACF activities) in public sector. 
OOC: 1.For Promoting standard of TB diagnosis, treatment and care as per NTEP guidelines for Drug susceptible and Drug Resisitant Tbamong selected health facilities and NGO/private sector.
2.Total 29 districts under PPSA: Araria, Banka, Buxar, Kaimur, Khagaria, Madhepura, Nawada, Rohtas, Sitamrhi, Purnia, Darbhnaga, Muzaffarpur, Saran, Madhubani, East champaran , Patna, Nalanda, Bhojpur, Gaya, Bhagalpur, Munger, Saharsa, Katihar, Vaishali, Samastipur, Begusarai, West Champaran, Siwan, Gopalganj. Remaining 9 districts: Arwal, Aurangabad, Jehanabad, Jamui, Sheohar, Sheikhpura, Kishanganj,Supaul, Lakhisarai. For ensuring TB notification and treatment outcome including public health actions of missing TB cases (Probably from Private sector) through need based partnership and enhanced involvement of chemist and informal health care providers. (Cost includes 18%GST).
3. Two Multi Sectoral Engangement at state level (@25000)and 2 at each district level @(5000).
</t>
  </si>
  <si>
    <t>Diagnostics: Sample transport and testing operational unit cost (LTBI testing) for 38 districts , Estimated Target population to be tested for TB infection in 38 districts considering IGRA testing uptake 50% .</t>
  </si>
  <si>
    <t>DBT: Estimated 2000 treatment supporters of DRTB to be provided incentives.
Civil works:  Refurbishment/upgradation at CDST lab Bhagalpur and additional 20 Truenat sites. Maintenance of NDRTBC, CDST lab and NAAT sites. 
Equipment: IRL/CDST lab AMC in state.
Drugs: Supplement DDRTBC for local procurement if not available.
Diagnostics: Lab consumables for LPA (IRL, Patna, TBDC Darbhanga and JLNMCH, Bhagalpur, IGIMS, VIMS Pawapuri, and Narayana Medcial college, Rohtas) and Liquid culture (IRL, patna and TBDC Darbhanga, JLNMCH, Bhagalpur and IGIMS, Patna) laboratories . Estimated proprietary items cost is 700.lakhs and Non proprietary items (In line with CTD directives, LPA cost 1000 sample (Expected LPA test 54000)-3.08 Lakh, LC cost 1000 sample (expected 30000 LC DST/FU)-6.4 lakh. Truenat Chips utilization at NAAT site as POC test. CBNAAT cartridges for screening vulnerable groups if central supply is not available.
Capacity Building: Training on NTEP PMDT/PMTPT CDO/MO, Training of STS, STLS (New Recruitment), Refrehser/Training on PMDT/TPTto DRTB supervisors and SA and at block level.</t>
  </si>
  <si>
    <t>DBT: Travel support @ Rs. 750/- to patients from notified tribal areas.</t>
  </si>
  <si>
    <t>Advertisement in News paper on World Thalassemia Day, Hemophillia Day, World Blood donors Day etc.
Total 20 Lakhs
15 Lakh for Printing of Pumphlets, Poster, Banner and other IEC Materials
15 Lakh for Printing of Registers, Formats etc. Blood Centers &amp; Day Care Center
Total 30 Lakhs</t>
  </si>
  <si>
    <t>(A) Rs. 50 Lakh for renovation of Blood Center &amp; BCSU. 
Renovation of premises of 25 old blood banks, 10 new blood banks and 4 BCSU is under process as per budgut approved in ROP 2020- 2021 . Shortage of fund is reported from  Blood banks namely Araria, Banka, Madhubani, Jehanabad , Samastipur etc.
Total Rs 50 Lakhs
(B) 1. Rs. 60 Lakhs for Blood Bank Referegerator. As per gap analysis and demand from blood center there is requirement of 30 Blood bank referegerators @ 200000.
2. Rs. 9 Laks for 90 Hemoglobinometer. Two Hemoglobinator to each Blood Center for 45 Blood Center @ 10000/=
3. Rs. 90 Lakhs for Grouping &amp; Cross matching machine &amp; Kits (Centrifuge &amp; Incubator) Rs. 2,00,000 per Blood center for 45 Blood center.
4.  Rs. 35 Lakh for 5 Sterile Connecting Device. @ 7 Lakh for five Blood centerVIMS Pavapuri, ANMMCH Gaya, GMC Betia, GMC Purnea &amp; SH Munger.
5. Rs 380 Lakhs for 76 BSU as proposed by Maternal Health. @ Rs 5 Lakhs per BSU
6. Rs. 60 Lakhs for Chemiluminescene machine &amp; Kits at PMCH Patna &amp; JLNMCH Bhagalpur. @ Rs. 30 Lakhs
7. Rs. 240 Lakhs for three Blood Component Separation Unit in Sadar Hospital (GGSH) Patna, Saharsa, Siwan &amp; Chhapra.
8. Rs. 84.6 Lakhs for Blood bags &amp; testing kits for 47 Blood Banks @ Rs 15000 per month per blood banks (Continue activity)
9. . Rs 15 Lacs for 500 VBD camp @ RS 3000/camp (Continue Activity)
Total Fund required- Rs. 973.6 Lakhs
(C) 1. Rs. 30 Lakhs for establishment of Integrated Center for Hemoglobinopathies &amp; Hemophillia in GMC Purnea.
2. Rs. 120 Lakh for HPLC Machine &amp; Kits in ICHH Patna, Muzaffarpur &amp; Purnea
3. Rs 75 Lakhs for Iron Chelating Agent for Thalassemia patients 
Total Fund required- Rs. 225  Lakhs
(D)  1. Three  Batchs E-rakt kosh training of MO, LTs and DEOs
2. Two batch training for Remote temperature monitoring of Storage equipment of  Blood Bank
3. Five Batches training of MO &amp; Lab. Tech BSU
Total Fund required Rs. 20 Lakhs</t>
  </si>
  <si>
    <t>Rs. 20000 lakh proposed for procurement of drug under Free Drug Services Initiative (6.2.21.1). An amount of Rs. 156.70 Crore was approved in 2021-22 in the PIP which is  under expenditure. This includes the drugs for H&amp;WCs as well. We have made a policy to retain 80% of the approved budget at SHS level to be delivered directly to BMSICL for the supplies to be made to the district and 20% is provided to the districts to meet the emergent situations and for the drugs and consumables not rate contracted by BMSICL. 
For FY 2022-23, we are proposing to increase per capita expenditure under NHM free drug services to 25 Rs. for which the budget is being proposed. For calculation, we've taken the OPD/IPD data  of pre Covid period which is OPD  (approx 765 lakhs)/IPD (approx 40 lakhs) figures, totalling approx 8 crores. Therefore, @25 Rs. per patient, it comes to total of 8 Cr x Rs. 25= Rs. 200 Crores which has been proposed. This includes the drugs for H&amp;WC as well.
Rs. 218.43 lakh proposed for transportation of drugs upto lowest level health facility (14.2.1)
Rs. 35.90 lakh proposed for printing of drug store inventory registers (12.17.5)</t>
  </si>
  <si>
    <t>Continued Activity    
Drugs and supplies
  For procurement of tobacco cessation drugs, anti tobacco patches and other equipments ( carbon monoxide monitor and spirometer )  50 thousand * 38 district = 19 lakhs 
Planning and M and E
 weekly FDG for 52 weeks @ rupees 1000 per week for 38 districts. = 19 lacks 76 thousand 
Others including operational cost    
 1) At least one enforcement drive in 3 month is to be done for strict compliance of COTPA 2003. at the rate of rupees 20 thousand ( for four drives) per districts for 30 districts = 7 lakh 60 thousand. 
 2) Rupees 3 lacks For procurement of mis. Office items ex. Pen, paper, printer cartridge files, folders etc.for TCC, DTCC and STCC
 Training and capacity building                                                                                                                        1)  4 lacks For state level advocacy, workshop, TOT, refresher training and other training.        
 2)  proposal for one training a year @ 30 thousand * 38 districts = 11 lacks 40 thousand for various stakeholders of tobacco control program.</t>
  </si>
  <si>
    <t xml:space="preserve">1. Temephos, Bti (AS) / Bti (wp) (for polluted &amp; non polluted water)                                                                   2. • Special Training/Sentization of district/PHC level officers on ELF is required at the district for which Rs. 60000/-  per distict may be provisioned. Training of Para-medical workers and lab. technicians are very essential on MDA, Morbidity Management and LF microscopy (for technicians) for which Rs.50000/- per district may be provisioned. • Training of Drug distributors (ASHAs, volunteers etc.) is crucial for Annual Mass Drug Administration and is given every year to sensitize them. Number of such drug distributors may be worked out and Rs. 200 for each participant during training of Drug distributors may be provisioned.                                                        3. Honorarium  for Drug Administrators including ASHAs and supervisors involved in MDA (Asha incentive @600 per 50 households) and supervisor incentive @175 per day for 14 days)                             4. Budget for 100% MMDP Services and MMDP Kit Distribution for total Lymphoedema Cases as per linelist 2021 total 73519 @ 500 per mmdp kit and 50% Hydrocele Operations i.e. total 8542 @ 750 per hydrocelectomy                                                                              5.Specific IEC/BCC for Lymphatic Filariasis at State, District, PHC, Sub-centre and village level including VHSC/GKs for community mobilization efforts to realize the desired drug compliance of 85% during MDA. Banners at DA Level, posters at DA Level, hoardings at Block level, Leaflets at DA Level and miking at Village level through slow moving vehicles like E-rickshaw. 
one family register is needed at DA Level to cover approx. 2000 population / 400 households. (2) Printing of microplan at block level befoe MDA. (3) Printing of supervisory formats at block level. (4) Reporting formats. (5) Register at block level to record daily evening briefing and proceedings during 14 days MDA.                                                       6. 1.DCC Meeting (one DCC for prepardness, one DCC during MDA for Mid MDA Review and one Media Sensitization meeting.
Mobility support (1) transportation of drug (2) Rapid response team (3)   Field visits to review LF Program 
 Office Contingency for miscellaneous office uses State and District level and 9 IDA Districts for dose pole purchase and 30 MDA Districts for Purchase of Marker pens.
7. Micro Filaria Survey for 30 MDA District block wise total 422 blocks @7500/- per block. Monitoring and Evaluation @15000/- per district. Additional MF Survey for 8 TAS districts block wise total 112 blocks @12600/- per block. As per LF new strategey at block level  for  TAS-1 in 8 districts and total population  31832686 and total blocks is 122. The budget calculate as per 1.5 lakh/EU  @ 5 lakh population and total Eus made 64. 
</t>
  </si>
  <si>
    <t xml:space="preserve">1. DBT- 177500 interval IUCD @ Rs 20= Rs 35.50 lakhs + 185000 PPIUCD @ Rs 300= 555 lakhs + 2500 PAIUCD @ Rs 300= 7.50 lakhs. Total= 598 lakhs
2. Equipment - 2380 IUCD Kit@2500 = 59.50 + 2560 PPIUCD forceps @Rs 800 = 20.48 lakhs. Total= 79.98 lakhs 
3. Capacity Building- 1 TOT batch @ Rs202515 = 202515 lakhs + 38 batch of Ayush MO@155000= 58.90 lakhs + 86 batch of SN/ANm @ Rs 150000= 129 lakhs.Total= 189.93 lakhs. 
4. ASHA incentives- 185000 PPIUCD @ Rs 150= 227.50 lakhs + 2500 PAIUCD @ Rs 150= 3.75 lakhs. Total- 281.25 lakhs 
5. IEC &amp; Printing- Rs 16.10 for IUCD related records &amp; registers
</t>
  </si>
  <si>
    <t xml:space="preserve">1. Procurement- 189328 Nayi Pahel kit @Rs 250 = 473.32 lakhs 
2. ASHA Incentives - 102567 Saas bahu Sammellan@ Rs 100= 102.57 lakhs + 189328 NPK @ Rs 100= 189.33 + 189328 EC survey@ Rs 100= 189.33 lakhs. Total= 481.23 lakhs 
3. OOC- 102567 SBBS @ Rs 1500= 1538.51 lakhs + 1932 Saarthi @ Rs 10000= 193.20 + 1679 Convergence meeting @11983= 201.20 lakhs. Total= 1932.91 lakhs 
4. IEC &amp; Printing of 2 MPV drives = 208 lakhs 
 </t>
  </si>
  <si>
    <t xml:space="preserve">1. SHS -Jeevika involvement in FP (Piloting in 5 district)= 266.34 lakhs 
2. Sehat Kendra in 58 university colleges- 36.50 lakhs 
3. Parivar Niyojan Diwas (PND) at CHC/PHC/ functional HWC- 502.11 lakhs 
4. PRI (Mukhiya) orientation on FP= 216 batch @ Rs 56500= Rs 122.04 lakhs </t>
  </si>
  <si>
    <t>1. New Activities
 Three day TOT  Capacity Building State/ District level  for ToT Mo  Staff Nurse and  one day Physiotherepist (2 batches  for  MO ,   4 batches Staff Nurses and 1 Batch for Physiotherepist) unit cost per batche@ Rs 381714
Total Budget Rs (381714*7)=26.72 Lakh
2.Continued Activity
 Awareness Generation/IEC/BCC activities on  Elderly Programme.
1. Publication of   Advertisement in News paper Rs. 200000 
2. Broadcasting of Audio/ Jingle Rs 300000
3. Advertisement on Bus pannel Hoarding etc Rs. 300000
Total Budget Required (1+2+3) Rs 800000</t>
  </si>
  <si>
    <t xml:space="preserve">1.Equipment 
Continued Activity
 F.Y 2022-23 and 2023-24  Budget 1lakh per District NCD clinic  (35*1)= 35 lakhs
for Doctor's  table , chair, Stool , plastic chair, AC, laptop, printer , fan. Mobile for patient helpline, cubboard , racks , wash basin   , Waiting chair, BP appartus, thermometer, Pulse oxymeter,Glucometer with strip, kettle, Wifi-roater, stadio meter, weighing scale  
2.  Drugs and Supplies
 Continued Activity :
 F.Y 2022-23 and 2023-24 Budget  Required (7.20  lakh per Dist NCD Clinic)38*7.20=273.60 lakh
Purchase of NCD related Drugs as per EDL ( Diabetes, HTN, Asthma, Diuretics, COPD, CKD etc.) 
3.  Dignostics  Consumable  PPP  etc
 New  Activity
Budget proposed for the establishment of chemotherapy units (cancer Day Care Centre )  in 6  Places (A)  Bhagalpur, 2.Patna  3.Muzffarpur  4.Gaya   5.Darbhanga  and  6.Purnia @23  lakhs per  center.
 Total  Budget Requirment  F.Y 2022-23 and 2023-24  23*6=138 lakhs 
(B)  PPP
As per Discussion in NPCC
PPP NCD Clinic at DH (106)
 Continued Activity:
1) District level NCD Clinics are proposed to be strengthened to provide advanced screening to  suspected  persons with cancer signs and symptoms (detected by Population Based Screening).
It is proposed to provide basic treatment to patients referred after PBS from periphery. Diabetic , Hypertensives , suspected Cancer patients would be screened by trained MOS and other paramedics for timely referral and treatment at higher centres. It is proposed to have five beds exclusively for Chemotherapy patients (Day Care Centre) along with palliative care in each  district.
2) Presently in 16 Districts of Bihar, HBCH&amp;RC is running such services with funds from CSR. The MOs of Department of Health are also deputed by the respective Civil Surgeon for their hand holding.   
3) Dept of Health, Govt of Bihar, proposes to retain the model on outsourcing model and scale up the program in all 38 districts of Bihar by signing an MOU with HBCH&amp;RC. The roles and responsibilities of HBCH&amp;RC  would be defined with the MoU.
 Outsourcing based dedicated team per ditrict requires Medical Officre's, paramedical staff and program management /supporting team. 
Budget Required  F.Y 2022-23 and 2023-24 (38*12*207973)=948.36 Lakh
4.Continued activity: 
New Activities
OOC NCD Clinic at DH (106)
(A) New Activities
NPCDCS-NCD Clinics at DH: Transportation of patients for  investigation and treatmetnt @2.5 lakhs per NCD Clinic at DH
Total  Budget F.Y 2022-23 and 2023-24= 2.5 *38 =95 lakh
(B)Continued activity:
 Under NPCDCS  programme for the FY 2022-23 proposed in existing 38 district clinic Contigency 
Total Budget F.Y 2022-23 and 2023-24 ( 1*38)=38 lakhs
                                                                                                                                                                                               </t>
  </si>
  <si>
    <t xml:space="preserve">1. Contingency at CHC NCD Clinic
Continued Activity: 
Demand for 193 CHC NCD Clinic = 193 @100000 per NCD Clinic  
2. Drugs and supplies
Continued Activity:
Purchase of drugs and consumables at 368 (CHC/ SDH/RH) NCD Clinic @ 1 Lakhs per NCD Clinic  
3. Transport for referred patient
Continued Activity:
Transportation of referred patient for 368 (CHC/ SDH/RH) NCD Clinics @ 32000
</t>
  </si>
  <si>
    <t xml:space="preserve">Capacity Building
As per Discussion in NPCC Meeting
Continued Activity
( A) Organising Monthly Review Meeting on NCD (CBAC/FF &amp;Follow up) and TB etc  For Asha and ANM at PHC
Total budget Required  F.Y 2022-23 and  2023-24 (533*12*4573)=292.50
( B) Surveillance and Research
Total Budget Required In F.Y 2022-23 and  2023-24  =18 Lakh
 Topic:  "A pilot study to assess the prevalence of high risk HPV 16 ,18,31 and 45 among elderly women diagnosed with cervical cancer"This pilot study will be conducted at Homi Bhabha Cancer Hospital&amp; Research Centre, Muzaffarpur &amp; District NCD Cell Muzaffarpur . 
</t>
  </si>
  <si>
    <t>Continued Activity
1) Rs.507.19 lakhs proposed for screening of Hepatitis-B &amp;C in high risk groups, HCWs, Thalassemics, Haemophilliacs, ANC registered pregnant women,   OPD cases, Confirmatory test kits (RT-PCR) for screened positive cases and consumables for 38 District lab. 
2) Rs. 23 lakhs proposed for management of Hepatitis A &amp; E @50,000 per MTC/TC (43 TC &amp; 3MTC). 
3) Rs 5 lakhs for transportation of reactive samples for viral load testing and transportation of drugs 
4) Rs. 5 lakhs for 5 days training of lab technician in 2 batches. 
5) Rs. 5 lakhs budget proposed for printing treatment cards for viral hepatitis patient, referral form for viral load samples, papers and misc. 
6) Rs 5 lakhs proposed for incentivizing 43 STD counsellor designated as coordinator under NVHCP @Rs. 10 per case. 
7) Rs. 2 lakhs proposed for 4 state lab ie AIIMS, PMCH, IGIMS, RMRI, Patna @ Rs. 50000 per state lab for meeting cost/office expenses/ contingency.</t>
  </si>
  <si>
    <t>Continued Activity
1) Rs 64.02 Lakhs proposed as kind grant for Hepatitis- B&amp; C drugs.
2)Rs 348.07 lakhs as cash grant proposed for procurement of HBIG for new-born of Hepatitis -B reactive pregnant women.
3) Rs. 14.56 lakhs Hepatitis B vaccination for High Risk groups (@Rs 90 approx(3 dose) per HRG). (New activity)
Continued Activity
3) Rs. 5 lakhs proposed for 3 days training of Medical Officer in 2 batches at state level. 
4) Rs. 1 lakhs proposed for 1 day training of Peer support in 2 batches at state level. 
5) Rs. 1 lakh proposed for 1 day training of Pharmacist in 2 batches at State level. 
6) Rs. 1 lakh for 1 day training of  DEO in two batches. 
7) Rs. 1.5 lakh proposed for meeting/contingency/office expenses @Rs.50000 per MTC (3 MTC). 
7) Rs. 5.16 proposed for meeting/contigency/office expenses @Rs.12000 per TC (43 TC).</t>
  </si>
  <si>
    <t>1. Continued Activity 
1. Mobilizing and attending UHSND - Rs. 200/-
i) For Immunization of 0-4 Beneficiery = No Incentive
ii) 5 Benefifiery = Rs. 50/-
iii) 6 or more than 6 Beneficiery upto 35 = Rs 10/ per Beneficiary
2. Convening and guiding MAS meeting - Rs. 150/-
3. Attending the UPHC Review meeting -Rs. 150/-
4. Line listing of households done at beginning of the year and updated on monthly basis -Rs. 300/-
5. Maintaining Urban health register and supporting universal registration of births and deaths to be updated on monthly basis -Rs. 300/-
6. Preparation of due list of children to be immunized to be updated on monthly basis -Rs. 300/-
7. Preparation of list of ANC beneficiaries to be updated on monthly basis -Rs. 300/-
8. Preparation of list of eligible couples to be updated on monthly basis - Rs. 300/-
2. Continued Activity
Module Training for 700 ASHA in 24 batches X @Rs. 1,26,000/- per batch = Rs. 30,24,000/-. Budget Annexure attached 
3. Continued Activity
1. ASHA Sari: 2 sari @ Rs. 700 X 2 X 500 = Rs. 7,00,000/-
2. Six (06) Cotton Masks for 700 ASHA X Rs. 25/- per Masks = Rs. 1,05,000/-
3. To motivate ASHA, the best performing 3 ASHA per UPHC are to be awarded @ Rs. 3500/- X 110 UPHC = Rs. 3,85,000/- (1st Prize = Rs. 1500/-, 2nd prize = Rs. 1000/- and 3rd prize = Rs. 800/- &amp; Rs. 200/- for certificate printing). 
4. Communication Allowance to ASHA 700 CUG Sims X Rs. 150/- X 12 months = Rs. 12,60,000/-
5. Rs. 1,00,000/-   
i) Award at State Level for ASHAs First Prize - Rs. 40,000/-, Second Prize - Rs. 20,000/- &amp; Third Prize Rs. 10,000/- , total Rs. 70,000/- 
ii) Rs. 30,000/- for developing Audio-Visual documentary film for their distinguished work, 3 medals and certificate printing.
4. Continued Activity- HBNC Kit for 700 ASHA X Rs. 1000/- per Kit = Rs. 7,00,000/-</t>
  </si>
  <si>
    <t>1. Continued Activity 
Operational Expenses:
Proposed  Rs. 10,000 pm for 12 month for existing 110 UPHC-HWC (Rs 10000*12 months*110= Rs. 13,200,000)
Proposed Rs. 10,000/ per month per UPHC_HWC for 30 New rental  UPHC-HWC in Districts namely (Banka(1),Bhagalpur (1),madhubani (2), Samstipur (2),Madhepura (1), Saharsa (2), Supaul (1), Arwal (1), Aurangabad (1), Gaya (1), Jamui (1), Khagaria (1), Lakhisarai (1), Sheikhpura (1), Buxar (1), Kaimur (1), Nalanda (1), Patna (1), Rohtas (1), Araria (2),Kishanganj (1), Gopalganj (1), Saran (1), Siwan (1), &amp; Sitamarhi (2)  for operational expenses of 3 months.  (Rs 10000*3 months*30= Rs 900000)
Proposed one time UPHC-HWC setup cost (Furniture, Computer with printer, etc.) @ Rs. 3,00,000/ for 30 new UPHC-HWCs in above city. (Rs 300000*30= Rs 9000000). Total = Rs 13200000+ Rs 900000+ Rs 9000000= Rs 2,31,00,000). Justification for 30 New UPHC-HWCs is attached as annexure 
2. Continued Activity 
Rent:
Proposed  Rs. 20000 per month for 90 existing UPHC for 12 month and 30 new UPHC for 01 months.
Sub Total = 20000*90*12 months = Rs 21,600,000 Sub Total = 20000*30*1 month  = Rs 600,000. Total = Rs 21600000 + Rs 600,000 = Rs  2,22,00,000
3. Continued Activity:
Proposal for construction of 10 new UPHC buildings namely for the City/districts of Aurangabad (1), Bhojpur (3), Bhagalpur (1), Gaya (2), Rohtas (2), Purnea (1) @ Rs. 2, 58, 69, 000/- per unit.
BMSICL has given the technically approved estimate as per running SOR BCD 2020 comes out to be  Rs. 2, 58, 69,000/- per unit. The SoR 2020 is Rs. 3500/sqft and total construction cost for 5743 sq ft area is around Rs. 2 crore. The G+2 building construction cost includes civil work (Rs. 1,43,32,224), PHE work (Rs. 14,33,222), electric work (Rs. 17, 91, 528), fire fighting (Rs. 5,73,288), bed lift (Rs. 24,00,000), Furniture (Rs. 17,90,967), Air conditioner (Rs. 5,65,004) and boundary wall (Rs. 12,90,000).  Detailed DPR attached.
As per DPR the total cost for construction of 10 UPHC-HWC building is Rs. 2, 58, 69,000x10= Rs. 25, 86, 90,000/-. 
Currently proposed 25 percent of total cost Rs. 6, 46, 72, 500/- may be approved, so that the necessary steps could be taken for construction of UPHCs. Subsequently state will propose the balance amount in upcoming financial year as per progress of construction work. 
This proposal is very important for strengthening of NUHM in the state. As state having more rented UPHCs, so construction of new UPHCs would support in the providing CPCHs and expanded range of services in enabling environment and closer to cummnity including free essential drug services. After construction of new UPHC the recurring cost like rent will be decreased.
4. Continued Activity :
Training:
1) Proposed Rs. 1,000/- per staff Training for 1118 employees (ANM-500, SN-330, Pharmacist-110, LT-110, and UH Accountant-31, PHM-37) for existing 110 UPHC-HWCs = 1000*1118= Rs 11,18,000
5. Continued Activity :
MO@ Rs 5000/ MO and SN @ Rs 5000/SN for multi skilling as per CPHC guideline. (Rs 5000*110=5,50,000 + Rs 5000*110=550000) = Rs. 11,00,000
6. Continued Activity :
IEC
Proposed Rs. 10,000 per UPHC for 110 UPHC for publicity and branding etc. Total =10,000*110 UPHC= Rs. 11,00,000
7. Continued Activity :
IEC
Proposed @ 25000 for 110 UPHCs-HWC as per HWC guideline. Total = Rs 25000*110= Rs 27,50,000
8. Continued Activity :
IEC
Rs. 15 lakh at state level IEC activities (Electronic, print, radio,Theater etc)
Proposed @ 10000 for 110 UPHCs-HWC. Total = Rs 10000*110= Rs 1100000, Total =1500000+1100000=26,00,000
9. Continued Activity :
Printing of required registeres and formats for the UPHC-HWC @ 25000 /UPHC .Total = 25000*110=Rs 27,50,000
10. Continued Activity :
Logitic support to maintain supply chain of Drugs, Contraceptives at UPHC  from District Ware House- Rs 6000/year X 110 UPHC= Rs. 6,60,000</t>
  </si>
  <si>
    <t>Remuneration for 5140 CHOs @32000/- PM</t>
  </si>
  <si>
    <t>Continued activity
 INCENTIVE OF CHOs @ 8000/- pm 
Out of 5140 CHO, Salary for 1749 CHO will be sought from funds available in XVFC. For remaining 3391 CHO Salary is Proposed in SPIP                                                                                              
1) Proposed remuneration for 1129 CHOs (662+105+362) for 12 months - Rs 108384000/- 
2) Proposed remuneration for 840 (July 2021 Batch assuming 80% Pass out rate ,out of 1050) for 12 months - Rs 80640000 /- 
3) Proposed remuneration for 2025 CHOs (50% of 4050 through integrated course) for 12 months - Out of 2025, Incentive for 1749 CHO will be sought from the funds available in XVFC. For remaining 276 CHOs for 12 months is Rs.26496000/-
4) Proposed remuneration for 306 new CHO (Batch Jan 2022 Batch assuming 80% Passout rate, out of 382) for 9 months - Rs 22032000/-  
5) Proposed remuneration for 840 new CHOs (July 2022 Batch assuming 80% Pass out rate, out of 1050) for 3 months - Rs. 20160000/-
Total amount is Rs. 257712000/-
Continued activity-FMR 8.4.9 
Proposed Team based Incentives (For MPW &amp; ASHA). Out of  8570 HSCs , For 1749 HSC incentive will be sought from the funds available under XVFC. For remaining 6821 HSCs Fund is prposed in SPIP. 6821* 96000=Rs. 654816000/-
Admin Approval is sought for the total amount ie. Rs. 654816000/-, out of which 50%, ie. Rs. 327408000 is proposed in SPIP 2022-23 and additional funds (if required) shall be sought in supplementary PIPs.
Total amount required is Rs 327408000/-
Continued activity- FMR 8.4.10
Recurring cost for 1379 APHC  will be sought from the funds availavle under XV- Finance comission.</t>
  </si>
  <si>
    <t xml:space="preserve">CHO MENTORSHIP: 2022-23
New Activity 
CHO mentorship Program - Honorarium for mentors ( proposed for 60 state mentors as per JS letter )
Honorarium @ 100 per CHO and PBI @ 50 per CHO. Honorarium for one mentor is 18000/- per month. 
Total Honorarium for 60 mentors @ 18000/- per month for 12 months is Rs.12960000/-
Admin approval of Rs 12960000/- being sought. However 50 % of the amount Rs 6480000/- is proposed in SPIP.  If required, the balance amount may be proposed subsequently.
CHO MENTORSHIP: 2023-24
Continued Activity 
CHO mentorship Program - Honorarium for mentors ( proposed for 60 state mentors as per JS letter )
Honorarium @ 100 per CHO and PBI @ 50 per CHO. Honorarium for one mentor is 18000/- per month. 
Total Honorarium for 60 mentors @ 18000/- per month for 12 months is Rs.12960000/-
Total amount proposed is Rs.12960000/-
</t>
  </si>
  <si>
    <t>TRAINING: 2022-23
1) New Activity :Training on Jan Arogya Samiti - Training at State  and  District Level .
State level Tarining cost -  175 participants @ 2500 per participant. Total cost Rs 437500/-
District level Training Cost - 55 participants per District @ 750 per participants. Total cost Rs 1567500/-
Total cost for the above JAS training Rs.2005000/-
TRAINING: 2023-24
No additional Funds proposed for training in 2023-24.</t>
  </si>
  <si>
    <t xml:space="preserve">1.Training-cum-review meeting for HMIS &amp; RCH Portal at State level for  state level officials, Regional M&amp; E Officers, HMIS Supervisors &amp; District M &amp; E Officers. 
2. District Level Orientation-cum-Hands on Training on HMS,  RCH Portal/ANMOL.  The Participants will be CS, Dy. Superintendent, RME, HMIS Supervisor, DPM, DME, DCM, MOIC, BHM &amp; Block M&amp;E-cum-DEO. Total participants = 3118 per training for 2 training.
3. One day Block Level Orientation-cum-Hands-on monthly Training on HMIS, RCH Portal/ANMOL for 12 months.  The Participants will be ANM, ASHA Facilitator, concern Block Official along with District/Region/State facilitators, Total participants = 27688 X 12 months @ Rs.300/- per participants and total training = 533 X 12 months.
4. Internet Connectivity -The office of State health society is fully WiFi enabled campus and 40 Mbps lease line connection taken from BSNL (Annual Cost is Rs.9,44,000/-) &amp; 100 Mbps lease line connection has been also taken from Railtel (Annual Cost is Rs.15,34,000/-)  Hence, the fund of Rs.24.78 Lakh has been proposed for internet connectivity in the office of State Health Society, Bihar. The fund for Internet Connectivity/Data Card facility to all 9 Regional M&amp;E Officers &amp; all 38 District M&amp;E Officers has also been proposed @ Rs.500/- per month for 12 months (Annual Cost is Rs.282000).  
Total fund proposed: 27.60 Lakh. 
5. Other Office Expenditure- Need basis expenditure (Rs.1.50 Lakh per month for 12 month) for other IT related expenses as like email service, domain charges, Network equipment, IT related training/meeting, IEC etc.
Total fund proposed: 18 Lakh. 
6. Laptop Procurement  for 3 State Official, 9 Regional M&amp;E Officer &amp; 9 HMIS Supervisor @ Rs.75,000/- per Laptop. 
Total fund proposed: 15.75 Lakh. 
7.  Hospital Management System –  The pilot of Bahmni (HMS) at 3 Health Facilities of Muzaffarpur District &amp; e-Hospital of NIC at all Health Facilities (upto PHC level) is in completion stage. Hence, State has decided to implement ABDM complied Hospital Management System (HMS) at all Health Facilities (upto PHC level) of 3 Districts in the FY:2022-23 and at all health facilities (upto PHC level) of remaining 35 districts in FY:2023-24. The existing OPD registration and drug distribution counter (Sanjeevani) will be continued till the roll-out of ABDM Complied HMS. Hence, the fund of Rs.4706.88/- Lakh for FY: 2022-23 &amp; Rs. Rs.12358.17/- lakh  for FY:2023-24 has been proposed for Queue Management System, Tablet for Health Officials, IOT (Internet of Thing) Devices, Data Entry/Updation Point (man with machine). The fund for Software Customization, Hosting, Technical Support Team, Local Server, Internet Connectivity etc. has already been included in the proposal of Bihar Health System Digitization under FMR Code: HSS13 (State Specific Programme Innovations &amp; Interventions). The fund for Payment of outsourced OPD &amp; Drug Counters (Sanjeevani), functioning at DHs/SDHs/CHCs/RHs/PHCs has also been included in the above budget.         
</t>
  </si>
  <si>
    <t xml:space="preserve">TELECONSULTATION:2022-23
Continiued activity     a) Internet Cost for HUB 1 @ SIHFW - 10 mbps @ 261960 per annum . For Two connections is Rs- 523920/-b) Internet Cost for 38 District Hospital - 10 Mbps with 4 Access point @ 354000/- per annum . For 38 Districts Rs 13452000/-c) Internet Cost for 533 PHC - 2 Mbps with 2 Access point @ 113280 /- per annum . For 533 PHC Rs- 60378240/-
d) Internet Cost of 222 spokes ( SDH, RH , CHC ) - 2 Mbps with 2 Access point @ 113280/- per annum. For 222 spokes Rs - 25148160/- (Out of 380 spokes, remaining 158 spokes are PHCs covered in (c) above)
e) Internet cost for 24841  Medical officer and ANM (1379 MO  + 19462 ANM + 4000 CHO ) proposed  presently @ Rs -300  /- per month for 12 months. Total Rs- 89427600/-
f) Apart from above,Admin Approval for internet cost for 8000 ANM (recruitment in process by SHSB) @ 300 per month for 12 months. Total Rs28800000/-
g) Rent for Hub @ SIHFW @ 10000/- per flat and electric bill @ 5000 per flat . Total For 4 Flats 60000/- per month. Total for 12 months 720000/-
h) Remuneration for specialist Doctor @ 3000/- per day. For 26 Days Rs- 78000/- per specialist. For 6 specialist@ 78000/- per month is 468000/-.  For 12 months                                                                                                                                                                                                                                                                                    is Rs- 5616000/-
So Total amount for all above activities being proposed is Rs - 195265920/- 
TELECONSULTATION:2023-24
Continiued activity                                                                                                     
a) Internet Cost for HUB 1 @ SIHFW - 10 mbps @ 261960 per annum . For Two connections is Rs- 523920/-b) Internet Cost for 38 District Hospital - 10 Mbps with 4 Access point @ 354000/- per annum . For 38 Districts Rs 13452000/-c) Internet Cost for 533 PHC - 2 Mbps with 2 Access point @ 113280 /- per annum . For 533 PHC Rs- 60378240/-
d) Internet Cost of 222 spokes ( SDH, RH , CHC ) - 2 Mbps with 2 Access point @ 113280/- per annum. For 222 spokes Rs - 25148160/- (Out of 380 spokes, remaining 158 spokes are PHCs covered in (c) above)e) Internet cost for 24841  Medical officer and ANM (1379 MO  + 19462 ANM + 4000 CHO ) proposed  presently @ Rs -300  /- per month for 12 months. Total Rs- 89427600/-f) Apart from above,Admin Approval for internet cost for 8000 ANM (recruitment in process by SHSB) @ 300 per month for 12 months. Total Rs28800000/-
g) Rent for Hub @ SIHFW @ 10000/- per flat and electric bill @ 5000 per flat . Total For 4 Flats 60000/- per month. Total for 12 months 720000/-
h) Remuneration for specialist Doctor @ 3000/- per day. For 26 Days Rs- 78000/- per specialist. For 6 specialist@ 78000/- per month is 468000/-.  For 12 months                                                                                                                                                                                                                                                                                    is Rs- 5616000/-
So Total amount for all above activities being proposed is Rs - 195265920/- </t>
  </si>
  <si>
    <t xml:space="preserve">VHSNC - Untied Fund
Calculation based on 4 districts for revenue village level X 10000/- each revenue village
other 34 districts for Panchayat X 5000/- each
e.g. 3806 X 10000 + 7609 x 5000 = 7,61,05,000/- (In FY 2023-24 Rs. 10000/- for all 11415 VHSNC.
2.
1- District Hospitals -Continued Activity,  450 Lakhs.
36 DH's are functional across the State. Budget proposed per DH for untied funds is: Rs.12,50,000,. Total budget required is Rs. 12,50,000*36= 450 LakhsAllocation will be done as per GoI guidelines, taking into account of differential allocation.
2- SDH -Continued Activity,  632.50 LakhsTotal  115 SDH/RH are functional in the State.. 
Proposed budget for one SDH/RH =  Rs.550000 /-. Total budget required = 550000*115 = 632.5 Lakhs Allocation will be done as per GoI guidelines, taking account of differential allocation.
3- CHCs -Continued Activity,  1408 Lakhs
A total of 256 PHCs have been upgraded to CHC and they are functional. Thus, budget proposed is: Rs.550000*256= Rs. 1408 Lakhs.  Allocation will be done as per GoI guidelines, taking account of differential allocation.
4- PHCs -Continued Activity,  969.5 Lakhs
Out of 533 PHCs, 256 were upgraded as CHC. Rest 277 facilities still functional as PHCs.  
Therefore budget proposed is: Rs.350000 * 277=Rs. 969.5 Lakhs. Allocation will be done as per GoI guidelines, taking account of differential allocation.5- Sub Centers -Continued Activity,  2051.6 Lakhs
Total 10,258 HSCs are functional in the State. Total budget required is  (10258 x Rs. 20000 per unit )= 2051.6 Lakhs. 
Allocation will be done as per GoI guidelines taking account of differential allocation.
6- Others (please specify) -Continued Activity,  833.4 Lakhs.There are 1399 APHCs functional in the State. 
1379 APHCs are either upgraded or proposed to be upgraded as HWCs . So for 1379 APHCs x  @ Rs. 60000 per unit = Rs.827.4 Lakhs
For rest 20 APHC budgeted amount is @ Rs. 30000 per Unit x 20 APHCs= Rs. 6 lakhs 
Total Rs. = Rs. 833.4 Lakhs. Allocation will be done as per GoI guidelines taking account of differential allocation.
Total Amount-450+632.50+1408+969.50+2051.60+833.40  = 6345
UNTIED FUND: 2022-23
Continued activity- 
Administrative approval for untied fund @ Rs. 30,000/- per SHC-HWCs for 8570 SHC-HWCs (Approvals till 2022-23) ie. Rs. 257100000/- being sought. 
However, funds being sought for 1000 HSC-HWCs funds @ Rs 30000 per HSC-HWC ie. Rs.30000000/-, being proposed in PIP. 
If required, the balance additional funds may be sought subsequently.
Total amount required is 
Rs 30000000/-UNTIED FUND: 2023-24
Funds being sought for 2500 HSC-HWCs funds @ Rs 30000 per HSC-HWC ie. Rs.7500000/-, being proposed in PIP. 
If required, the balance additional funds may be sought subsequently.
Total amount required is 
Rs 7500000/-
</t>
  </si>
  <si>
    <t xml:space="preserve">1. Equipment
New Activities
 Under NPPC  programme for the FY 2022-23 proposed in Six District  (Muzffarpur, Patna, Begusarai, Bhagalpur, Siwan and Nalanda) 
 Equipment  Per Distric 1 lakhs t (1*6)= 6 lakhs
2. Drugs and Consumable
Drug Consumable  3 lakhs Per District( 3*6)=18 Lakhs
3. Capacity building
New Activities 
 Under NPPC  programme for the FY 2022-23 proposed in Six District  (Muzffarpur, Patna, Begusarai, Bhagalpur, Siwan and Nalanda) 
  (  A.) 2 days Residential District level Training for MO and  Nurces on  NPPC per PHC) @ 1,70,400 per batch  total Batch 12
Total Budget 170400*12=20.45 Lakhs
New Activities
 Under NPPC  programme for the FY 2022-23 proposed in Six District  (Muzffarpur, Patna, Begusarai, Bhagalpur, Siwan and Nalanda) 
 ( B) 3  days Residential training for MO and Staff Nurse ToT at  SHSB/ MC  in 02 Batches. @2.50 per batch.TotalBudget  =2 batch*2.50=5 Lakh
Total Budget (A+B) 25.45 lakhs
4.(OOC)
Transportation &amp; Mobility Contigency etc 2 lakhs Per Distrrict ( 2*6)=12
(5.) .IEC &amp; Printing
New Activity
Celebration of days-ie Palliative care Day 
 (A) Budget Required (6*100000)=6 Lakh
 Awareness Generation/IEC/BCC  Printing activities on  NPPC Programme.
B. Publication of   Advertisement in News paper Rs. 2 Lakhs
C.  work shop  organised at SHSB /MC patna  and Broadcasting of Audio/ Jingle etc  Rs 1 lakhs
D. Printing  of  Module  for MO and Staff Nurse  Hoarding at Public place etc Rs. 5 lakhs
Total Budget Required (A+B+C+D) (6+2+1+5) Rs 14 Lakh
</t>
  </si>
  <si>
    <t xml:space="preserve">
For refresher training of 1020 lab technicians for pathological machines operation in all 38 districts.
2.  For Nursing Division F.Y 22-23(I) Establishment of Virtual Class Room, Contigency Fund &amp; Community Visits and CMC of Skill Labs:  Rs. 72345032
(II) Six week training &amp; 3 days Refresher Training incuding mentorship visits of 02 Nursing Midwifery Tutors:  Rs. 50,41,600</t>
  </si>
  <si>
    <t>Continued Activity: 
1. Proposed incentive for Carrying HIV/syphilis/HepB test kit/ Green Channel logistics from ILR Point/PHC  in thermo flask to VHSND sessions site@per sessions for 117282 sessions per month for 12 months.
Total Cost= (Sessions 117282 per Month * Rs. 100 for Arogya Diwas Green Channel Logistics* 12 months for FY 2022-23) Rs. 140738400/-</t>
  </si>
  <si>
    <t xml:space="preserve">
Continued Activity.
1. Demand is being made for Rs 3726000 as ASHA incentive for Linelisting of Severly Anaemic Women.
@ Rs100 Per Pregnant Women for 37260 PW
Total Amount- 37260*Rs.100= Rs.3726000.
2. Printing of 3519776 MCP Card Booklet @Rs.20.328 per MCP Card- Rs.3519776*20.328= Rs.71550000. Details Annexure.</t>
  </si>
  <si>
    <t>Continued Activity
1. Budget proposed for Home Deliverys of women from BPL Households @Rs. 500 per case for 4000 case- Rs.500*4000= Rs. 2000000.
2.Demand is being made for 1880340 institutional delivery (rural) @ Rs.1400 per benificiary same as being demanded in FY 21-22.
Total Amount- 1880340 *Rs.1400= Rs. 2632476000.
3. Demand is being made for 84386 institutional delivery (urban) @ Rs.1000 per benificiary same as being demanded in FY 21-22.
Total Amount- 84386*Rs.1000= Rs. 84386000.
4. Budget has been demanded @ Rs. 10000/- per Case (Gynaecologist- 5000,  Anaesthetist - 2000, Paediatrician 1500 and other staff-1500) 1000 case @Rs.10000 = Rs. 10000000.
5. (A) ASHA Incentive Rural Institutional Delivery-1880340 @Rs. 600 per case- 600*1880340= Rs. 1128204000.
(B) ASHA Incentive for Urban Instituional Delivery- 84386@Rs. 400 per case-400*84386= Rs.33754400.
Total Amount (A+B)-  1128204000+33754400= Rs.1161958400.
6.Budget proposed Rs.450.00 lakh for JSY administrative expenses.
7.Printing of 600 HRP Register@Rs.753.4536 per register- 600*753.4536= Rs.452072.16 Details Annexure.</t>
  </si>
  <si>
    <t>Continued Activity (JSSK Diet)
1.) As per HMIS Institutional Delivery to be conducted at Public Health Facilites FY 2022-23 is approx.  16,00,000 and expecting 5% increase on Institutional Delivery an approx. 17,00,000 instituional delivery is expected in FY 2022-23.  Out of 17,00,000 deliveries 16,50,000 normal delivery and 50,000 c.section is expected. Further demand is also being made for diet for benificaries under PMSMA. Based on these budget is being demanded as mentioned below:   
 Budget is being proposed-
Diet will be provided by Didi ki Rasoi (Under JEEVIKA) @150 per Diet to the beneficiaries for 
normal delivery at DH, SDH, CHC, Block PHC and C-section to be conducted at DH, SDH, CHC &amp; Block PHC
(A) Amount for normal delivery -1485563*3*150 = Rs.668503350
(B) Amount for C-Section- 50000*7*150=Rs.52500000
Rest Normal Delivery bellow PHC level-
(C Amount for normal delivery -164437*3*100 = Rs.49331100
2.) PMSMA Refreshment:-
PMSMA- Refreshment for 8 lakhs benificiaries @Rs. 50 per benificiaries- 800000*50=   Rs.40000000.
Amount- Rs.668503350+52500000+49331100+40000000= Rs. 810334450
JSSK Drugs and consumables
3.) As per HMIS Institutional Delivery to be conducted at Public Health Facilites FY 2022-23 is approx.  16,00,000 and expecting 5% increase on Institutional Delivery an approx. 17,00,000 instituional delivery is expected in FY 2023-24. Out of 17,00,000 deliveries 16,50,000 normal delivery and 50,000 c.section is expected. Based on these budget is being demanded as mentioned below:    
Budget is being proposed-
(A) Amount for normal delivery - 1650000*350 = Rs.577500000 (B) Amount C-Section- 50000*1600=Rs.80000000
Amount- Rs.577500000+Rs.80000000 =Rs. 657500000
Total Amount 1+2+3= Rs.810334450+657500000= Rs.1467834450</t>
  </si>
  <si>
    <t xml:space="preserve">Continued Activity, 
1.) Budget is being proposed for Carrying out PMSMA Activity across the state. Different activities will be carried out to strengthen PMSMA. Like Orientation, IEC, Mobility support, Reagents ,incentives to ASHAs and quarterly review meeting etc.
(A) ASHA Incentive- Out of 88910 ASHA Incentive Proposed for 40000 ASHA i.e 40000x100x12= 48000000.
(B) Monitoring and Review state level- 25000 per qtr. x 4 = 100000. 
(C) Monitoring and Review District level- 24000 per annum. per District 24000*38= 912000. 
(D) Monitoring and Review RPMU level- 10000 per annum. per RPMU- 9*10000 = 90000.
(E) Capacity Building- 10000 per Dis. = 10000x38= 380000.
(F) Logisitic and supply- 15000 per facility = 15000x600= 9000000. 
(G)PMSMA Visit: Budget is being proposed as travelling expenses for Volunteers Visit on PMSMA Day. An amount of @Rs. 2000 Per PMSMA Day Visit for 150 Volunteers. (Volunteers travelling expenses  : Rs 2000*12 Months* 150 volunteers = Rs. 3600000
Amount-  Rs. 48000000+100000+912000+90000+ 380000+9000000+3600000=Rs.62082000 
New Activity-1
2) Extended PMSMA Scheme
(A) Rs.100/-per HRP may be provided to ASHA for mobilization of HRPs for a maximum of three follow up ANC visit to PMSMA clinics (100*35000 HRP)*3 = Rs. 10500000/-
(B) Rs.500/-per HRP may be provided to ASHA on achieveing a healthy outcome for both mother and baby at 45th day after delivery. (500*35000 HRP)*1 = Rs. 17500000/-
(C) Rs.100/-per HRP beneficiary to meet transportation costs for attending a maximum of three PMSMA sessions.  (100*35000 HRP)*3 = Rs. 10500000/-
Amount- Rs. 10500000+17500000+10500000= Rs.38500000.
(3) New Activity:2
PMSMA Training on guideline on extended PMSMA 
a) Online training through web based video call on new guideline on extended PMSMA of all the PMSMA stakeholder / Doctors, ACMO, DCM, MS, HM and ASHA facilitators in two Batches @ Rs. 5000. Twice in year. Total Budget= 5000X2= Rs 10000. 
b) District level training of MO, HM, BCM, SN, ANM and ASHA will be conducted by ACMO and DCM   in coordination with MO on new guideline for extended PMSMA at respective blocks@Rs.55200*52 Batch= Rs. 2870400
Amount- Rs 10000+2870400= Rs.2880400 (Capacity Building)
(3) Continued Activity, 
Budget proposed for Rs. 24.50 Lakhs for IEC and Rs. 77.88 lakhs for Printing.
and Rs. 2.88 Lakhs proposed for on going activity Payment for PMSMA register. Details Annexure.
Amount- Rs. 24.50+77.88+2.88=Rs. 105.28 lakh.
Grand Total- 1+2+3+4 (Rs.62082000+38500000+2880400+10527728 =Rs.113990128)
</t>
  </si>
  <si>
    <t>New Activity-
1.) Proposed Rs. 30.00 lakh for 6 weeks online traning (2 days a week, 2 sessions on every day, 1.5 hours duration of each session) for capacity bulding on SUMAN covering all the essential aspects of SUMAN initative. This will include the ASCI course material and certificate of participation in three batches (25 participation in each batch).
@Rs. 40000 per participation for 75 participation- 40000*75= Rs.3000000.
Continued Activity - 
2.) Intersectoral Sensitization on SUMAN
District level Intersectoral (MoIC/ICDS/Education/ Jeevika/PRI etc) Sensitization on SUMAN @ Rs 54000 per district for 62 Health Facilities.
Total = 62*54000= Rs. 3348000
3.) Rs. 282.60 lakhs for IEC such as Mass media, outdoor, print, folk etc under SUMAN. Details Annexure.
Grand Total- 1+2+3 (Rs.3000000+3348000+28260000=Rs.34608000</t>
  </si>
  <si>
    <t xml:space="preserve">Continued.
Activity: 1     
1)  Budget proposed Rs.1231480  for the Procurement of Remaining Materials and Equipments for the establishment SMTI ,College of Nursing IGIMS Patna (Details Annexed)  
2) Proposed Rs.50000/- for Contigencies and Consumables for SMTI College of Nursing for FY 2022-23
3) Proposed Rs 2708000/- for MLCU and Rs.1500000 for Mini Skill Lab at SDH Danapur for FY 2022-23 .The facility has  not initiated work of MLCU in FY 2020-21.So the revised Budget  has been prepared according to  Re-Assessment and Gap Analysis 
4) Proposed Rs.1475500 for GGS Hospital Patnacity.
Total Budget-Rs.1231480+50000+2708000+1500000+1475500=Rs.6964980
Activity - 2
1) Proposed Rs.1080000/-for allowances @ Rs15000/per Midwifery educator per Month for 1 year. Budget Annexed.
2) Proposed Rs.30000/-Honararium @5000/-pe rmonth for 6 months to HoD/Principal for Coordination and Management of NPM Course. 
Total-  Rs.1080000+30000= Rs. 1110000 (Capacity Bulding)
Activity-3
1) Proposed Rs.1387500/-Cost of 6 months Training at NMTI  @ Rs.231250 per Midwifery Educator for DA@Rs 400/per ME per Day,Food (Break Fat,Lunch,High Tea,Dinner)@Rs-350 per ME per Day and Accommodation @Rs.500/- per MEs per Day.So for 6 months (185 days)  has been proposed for 6 midwifery educator.
2) Proposed Rs.84000/- Cost for Midwifery Educators for travel from State to NMTI (@Rs 14000/Midwifery Educator) for 6 educators.
Total Rs.1387500+84000= Rs.1471500 (Capacity Bulding)
Activity-4
1. Training of NPM at SMTI-
30 NPM in 1 batch will be trained. We propose Rs.207000 per trainee for 6 months FY 22-23 (as per midwifery guideline) - Rs.207000*30= Rs.6210000. Budget Annexed. (Capacity Bulding)
New Activity 
a) Training of 6 midwifery educator at SMTI-
Rs.480000 six midwifery educator for 6 month FY 22-23 (Accomodation, Food and travel). Details Annexed. (Capacity Bulding)
Grand Total - Rs.6964980+1110000+1471500+6210000+480000= Rs. 16236480
</t>
  </si>
  <si>
    <t xml:space="preserve">Continued 
Activiy-1.
(a) Two Day Regional Level Training on MPCDSR Guideline and web portal for 9 regions for all programme officers, convergent departments and all nodal officers @ Rs 100,000 each batch.
 for 9 regions (5 regions single batch 4 region two batches)13 batches = 100000X13 = Rs.1300000. (Capacity Bulding)
(b) One Day District Level Training on MPCDSR Guideline and web portal for 38 districts for all programme officers, convergent departments and all nodal officers @ Rs 58,000 each batch for 38+14 (14 district two batches having more than 15 blocks) =52 batches 58000X52 = Rs.3016000. (Capacity Bulding)
Activity-2
(A) ICD-10 classification training-
(i) Six hours online training of 1000 participants (MO, Staff Nurse and Phamacist) @ Rs 7200 (25 batches of 40 participants for year 2022-23 .
=1000X7200= Rs.7200000.(Capacity Bulding)
(ii) one day mentoring workshop at state @Rs. 309062 two (2) such workshop. Total- Rs. 309062*2= Rs. 618124. (Capacity Bulding)
(B) 
500 Maternal Death cases from 38 districts cases will be documented and analysed for gap Identification and response @Rs.2000/- Total- 500 Maternal death*2000= Rs.1000000.Details Annexed.
Activity-3
a) No of Maternal Death reported and reviewed @1050 per Maternal Death for 3290 (70% of expected Maternal deaths 4700) Maternal Death, Continued Activity, 3290*1050=Rs. 3454500.   
Break up of Rs.1050: Rs.200 for ASHA +Rs.450 Honorarium for Verbal Autopsy Team + Rs.200 Travel Expenses for Verbal Autopsy Team+ Rs.100 X 2 Incentive for deceased Family. 
b) Monthly State level review meetings will be conducted @Rs. 5000 per meeting for 12 Months. 12*5000=Rs. 60000.            
c) Annual State Level Taskforce review meeting will be conducted once a year @Rs.15000.
d) Incentive to First Responder of Maternal Death under SUMAN: An amount of Rs.45 Lakhs is being demanded as an incentive of Rs.1000 to First Responder of Maternal Death for 4500 Maternal Deaths against expected 4700 Maternal Deaths Per Year.
4500*1000= Rs. 4500000.
Amount-3454500+60000+15000+4500000 = Rs. 8029500.
Activity-4 (IEC)
Budget proposed for Rs. 140567.16  for MDSR format Printing. Details Annexure.
Grand Total- Rs.1300000+3016000+7200000+618124+1000000+3454500+60000+15000+4500000+ 140567.16= Rs.21304191
</t>
  </si>
  <si>
    <t xml:space="preserve">Continued Activity
1.) 400 facilites to be activated as per the target given by GoI. 
A) Medical Colleges- @ 10 MVA each  for 10 Medical College- 10*10 = 100 MVA.Total- Rs.100*2688= Rs.268800.
 B) District Hospitals @ 5 MVA each = 37*5 = 185 MVA.Total- Rs.185*2688= Rs.497280.
 C) Remaining 353 facilities @ 2 MVA each = 353*2 = 706 MVA.Total- Rs.991*2688= Rs.2663808.
Amount- Rs.268800+497280+2663808= Rs.3429888
2.) MMA combi-pack is being proposed - 7000 combipack of MMA for all the providers/ facilites whereever the providers are trained on MAA. 1 tab of Mifepristone and 4 tab of Misoproston@Rs.100*7000=Rs. 700000.
3.) ASHA incentives for CAC services @ Rs.150 for 2,000 cases  = Rs.150 X 2000 cases = Rs.3,00,000
4.) a) Provision of 1st trimester induced abortion/ services at private accredited Yukti Yojana clinics - @Rs.1000 per case X 10800 cases = Rs.10800000.                                                    
b)Treatment of first trimester incomplete abortion and abortion complications at private accredited Yukti Yojana clinics = Rs.1000 per case X 10,800 = Rs.10800000.                         
c)Transport subsidy to Community Health Intermediaries (ASHAs, ANMs, AWWs) accompanying women at Yukti Yojana accredited sites = Rs.150 per case X 2150 cases = Rs.3,22,500.
 d) Quarterly meeting of District Level Committe in all the 38 districts = Rs.2,500 per meeting X 4 quarters X 38 districts = Rs.3,80,000                                                               
 e) Incentive for provision of CAC services at public health facilities to the MOs@ Rs.500 for government facility MOs for 4,000 cases = Rs.500 per case X 4000 cases = Rs.20,00,000
5.) Budget proposed for IEC/BCC including Printing of CAC related materials- Rs. 32.65 Lakhs for IEC and Rs. 15.50 lakhs for Printing. And Rs. 15.50 lakh is needed to pay balance amount of CAC IEC &amp; printing which may be completed by march end.
Amount-Rs. 3265000+1550156+1550000= Rs.6365156. Details Annexure.
New Activity
6.) Four Review meetings is being proposed at the state level for  the CAC providers in order to review their performance and also to update them on the MTP amendments and the revised recording formats (Rs.2,57,000 X 4 batches = Rs.10,28,000)
Grand Total- Rs.3429888+700000+300000+10800000+10800000+322500+380000+2000000+ 6365156+1028000= Rs.36125544
2. C.B
Continued activity : (1) ToT on safe abortion services Budget Rs. 0.53 Lakhs  @ Rs. 52500/- batch (total batches 2 - 1 batch each for 22-23 and 23-24).  (2) New activity: Refresher Training of Master Trainers at PMCH, Patna in 22-23 (Rs.70,500 X 2 batches = Rs.1,41,000), (3) Continued activity: Training of Medical officer in safe abortion, FY 2022-23 Budget Rs. 22.68 Lakhs  @ Rs. 113400/- batch (total batches 20) and FY 2023-24 Budget Rs. 53.30 Lakhs  @ Rs. 113400/- batch (total batches 47).   (4) New activity: MMA ony trainings for MBBS providers (Eight batches of MMA only trainings are planned in the year 2022-23 with 5 providers in each batch and the duration of each training will be 3 days) @Rs. 36,350 per batch (Rs.36,350 X 8 batches = Rs 2,90,800). For 2023-24, eight batches of MMA only trainings are proposed @Rs.36,500 per batch (Rs.36,350 X 8 batches = Rs.2,90,800.  </t>
  </si>
  <si>
    <t>Continued Activity
1.) Proposed budget Rs. 50900000 lakh (509 lakh) for 6 MCH wings which infrastrucute are compelted. Hence, HDUs/ICUs can be established in these units. 
New Activity2.) Amount Rs. 437850/- to build the cpacity of 12 participatns on  HUDs/ICUs from 6 MCH wings. 
Total Budget- Rs.437850Details Annexed.</t>
  </si>
  <si>
    <t>New Activity
Budget proposed Rs. 400 lakh for procurement of 200 LDR Bed as per GOI specification under  FY 2022- 2023 and 400 lakh for 200 LDR bed FY 2023- 2024
Total amount- 2 lakh per LDR Bed (estimated price)= 200*2 lakh= Rs. 400 lakhs.
Continued Activity
2. Rs. 16033200 for Printing Labour room register and labour room case sheet  and Rs. 2495000 is needed to pay balance amount of printing which may be completed by march end. Details Annexed.
Total amount Rs. 16033200+2495000=Rs. 18528200</t>
  </si>
  <si>
    <t>Continued activity: LaQshya certifications &amp; Re-certifications Rs.42.02 lakhs for Q.A
1.) Budget proposed Rs.2854.75 lakh FY 22-24 for rennovation of 21 labour room/ maternity OT by BMSICL. (50 % fund  Rs 1427.38 lakh demnaded for FY 2022-23 and rest for FY 2023-24).There is administrative approval as per letter no. SHSB/MH/237/2018/8136 dated- 05.02.2020 of Rs. 3805.75 lakh approx for 21 districts hospital under laQshya. Rs. 95100000 (25%) transfared to BMSICL demanded through BMSIC/80065/89/20218/10092 dated 24.03.2021.
2.)A) Demand is being made for Half Yearly review meeting of LaQshya @Rs 25000*2 = Rs 50000.
B) District Level refesher training on LaQshya and Quality Improvment - @Rs. 75000*38= Rs.2850000
C)  2 Batches of State level capacity building workshop on QI for participants from 52 facilities (Quality Circle) to be focused for LaQshya Certification @Rs. 123000 per batch for 2 batches= Rs. 246000.Total: 50000+2850000+246000= Rs. 3146000. Detail Annexed.  3.)
A) An amount of Rs 28.75 Lakhs is being proposed for Onsite Mentoring at 50 District Hospital/Sub District Hospital/RH/CHC (SUMAN Identified Facilities) through qualified  NQAS External Assessors. Empanelled NQAS External Assesors of NHSRC to be used for mentoring visit (1 visit per facility for 3 days). 15 External assessors to be invloved with 2 -3 visits per Assessors for FY 2022-23. Budgeting for the  External Assessor mentoring visit is being done as per NHSRC norms.
Budget proposed as follows: Rs 57500 per visit *1 visit*50 Facilities= Rs. 2875000. Budget Annexed.B) LaQshya Mentoring Visit by State/Region/District Team 
Onsite Mentoring VIsit to laQshya facilities: An amount of Rs 70.66 Lakhs  is being demanded for Mentoring visit of LaQshya Identified Facilities through State, Regional and District Level mentors. Details Annexure.C) Stregthening of labour room and OT in LaQshya approved facilities- An amount of Rs.21691000 (216.91lakh) is being demanded for strengthening  for civil and electrical  of Labor room &amp; Maternity OT at 80 LaQshya Facilities. Details Annexure.
D) Procurment of Mannequin-Mannequin tender is under process 70.00 lakh for 42 sets of mannequin. so hence budget proposed Rs. 70 lakh in FY 2022-23
Total-  Rs.2875000+7066000+21691000+7000000=  Rs.38632000Grand Total amount- 1427.38+31.46+386.32= Rs.1845.16</t>
  </si>
  <si>
    <t>Continued Activity
1.) Budget proposed for remaining amout of Rs. 114.98 lakh towards procurement of 419 large ILR for storing HIV &amp; syphilis and hepatitis kits Rs. 716.25 lakhs was approved in FY 2020-21 for procurement of total 599 ILR. State has procured 419 large ILR @Rs.198240/- per ILR supplied by BMSICL, Which value Rs. 830.63 lakh. Rs. 716.25 lakh has been pad through PFMS. rest amount of Rs. 114.98 to be paid to BMSICL.
2.) Since couple of years NACO had stopped supplying safe delivery kits. To facilitate institutional delivery of Positive pregnant women and for universal precaution, availability of safe delivery to be ensured at all delivery points. (500 Safe delivery kits for HIV positive *1000= Rs.500000.    
3.) (A) Estimated ANC to be provided at facility level (upto PHCs) is approximately 10,00,000. Therefore, procurement of 10,00,000 RPR Kits @Rs.1.44 per kit is being demanded. (10,00,000*1.44 per kit) = Rs. 1440000.   
(B) Procurement of 10,00,000 Dual Test kit towrds screening of Syphilis &amp; HIV for PW at VHSND Level @Rs.15 per kit.
rate contract is under process throgh BMSICL. Hence the requirement is of 10 Lakh Dual Test kit in FY 2022-23- 10,00,000*15= Rs.15000000
Total amount- Rs. 1440000+15000000= Rs. 16440000
4.) Total number of 9 batches GDM traning will be conducted at Regional Level and 2 batches conducted State level ToT. Total- 11 batches.
1.) Regional level traning @Rs.57960 per batch for 9 batches= Rs.521640.
2.) State level ToT @Rs.152950 per batch for 2 batches= Rs.305900.Total- Rs.521640+305900=Rs. 827540.
5.) Training of Pvt . Health Facilities: In Bihar as per NHFS -5 Institutional Delivery reported from Pvt health Facility 20% whereas on HMIS only 3% Instituional Delivery is being reported. To ensure reporting from Pvt. health Facilities a total number of 430 Private health facilities have been mapped for which ID &amp; Password has been created on New HMIS Portal.In addition to this MDSR training to be imparted to Prvt. Practioners for ensuring reporting.
In this Context training of Pvt Health Facilities on reporting of Instituonal Delivery have been planned across 38 districts @ Rs 60000 Per Batch.Total Cost: Rs 60000*38= 2280000Grand Total- 11498000+500000+16440000+827540+2280000=Rs.31545540</t>
  </si>
  <si>
    <t>Continued Activity.....
Total proposed amount includes 4 (1 NID + 2 SNIDs) rounds+ 1Special activity during festival viz. Chhath, Dipawali, Holi, various melas etc. + procurement of Marker pen
Amount proposed for the FY 22-23 is @ 1125.65/- lakhs per round for Approx 4 rounds Rs. 4502.6/- lakhs. &amp; including IEC 369/- = 4871.6</t>
  </si>
  <si>
    <t xml:space="preserve">Budget is being proposed for
1. Training of Paediatrician,MO, Staff Nurse under SAANS program. Currently SAAANS program is implemented in 14 districts. Further it is proposed to be upscale in 7 High Prirority districts in FY 2022-23. Total 51 batch is required to complete the training of all MO and SNs of 7 districts. Hence Budget is being proposed for FY 22-23:
a) 2 days  District TOT at Medical College of 7 districts on SAANS program of one batch =  2.84395 lakh 
b) 2 days training of Medical officer, Paediatrician and Staff Nurse on SAANS program@267260 per batch. In FY 2022-23 26 batches are being proposed = 26*Rs.267260 = 69.49 lakh and in FY 2023-24, total 25 batches are being proposed = 25*Rs.267260 = Rs. 66.82 lakh
c) one day oreintation on SAANS program of district and block level officials@45500 per batch = 7 batch*45500 = 3.19 lakh
Similarly in FY 2021-22  budget was approved for 36 batches out of 71 batches of 13 Aspirational districts. Hence budget is being proposed for remaining 35 batches of 13 aspirational districts@267260 per batch = 35*267260 = 93.54 lakh
Total Budget Required = 2.85+69.49+66.82+3.19 + 93.54 = 235.89 lakh
3.Currently SAANS program is implemented in 14 districts. Now it is proposed to be upscale in 7 High Priority districts in FY 2022-23. Hence Budget is being proposed for
procurement of
a) 422 Pulse Oximeter@ Rs.15000 per Pulse Oximeter = 422*15000 = 63.30 lakh
d) 784 Nebuliser@Rs.1000 per nebuliser = 784*Rs.1000 = 7.84 Lakh
c) 28 Paedeatric manniquin@40000 per manniquin = 11.20 lakh
d) 14 Oxygen Concentrator@55000 = 7.70 lakh
Hence Total budget required = 63.30 + 7.84 +11.20+ 7.7 = 90.04 Lakh
SIO Mobility
</t>
  </si>
  <si>
    <t>Continued Activity:-
* Total Project Cost = 353.87 Crore
* Total Amount Received = 148.14 Crore
* Total Amount Transfer to BMSICL=105.62 Crore
Total amount Required to complete the project = 205.73 Crore
As such the UC for Rs. 37.1672 Crore has already been submitted by BMSICL.
New Activity:-
It has been observed by the State that owing to lesser inroads of medical infrastructure pertaning to Mother and Child Care specially in the MMR is high.
In order to bridge the existing gap taking under consideration the above mentioned scenario; the State hereby proposes the construction of 1 new 100 bedded MCH Wings in Sheikhpura.
*Project Price= 22.00 Crore per unit
* Project cost 22.00 Crore per unit 
Total Prject cost = 1x22.00 Crore
* Total Amount needed for FY 2022-23 = 4.40 Crore @ 20% of total project cost.
*In principle approval is solicited subject to as per detailed project report, technically approved project cost and prevaling SOR.
(C) An amount of 17.6 Crores is required to complete the construction for 100 bedded MCH Wings  at Sheikhpura for FY-23-24</t>
  </si>
  <si>
    <r>
      <rPr>
        <b/>
        <u/>
        <sz val="10"/>
        <color theme="1"/>
        <rFont val="Arial Narrow"/>
        <family val="2"/>
      </rPr>
      <t xml:space="preserve">Continued Activity :
</t>
    </r>
    <r>
      <rPr>
        <sz val="10"/>
        <color rgb="FF000000"/>
        <rFont val="Arial Narrow"/>
        <family val="2"/>
      </rPr>
      <t xml:space="preserve">1) As per target a total of 6595 HSC-HWCs have been approved in various ROPs till date.
2) Total 1975 fresh HSCs are being proposed to be developed as HWCs in 2022-23 for which1975 CHO's have to be provisioned. 
3) Advertisement for 5679 candidates have been floated for admission to CCH course, 3871 candidates enrolled and 1173 candidates posted as CHOs till date. Out of this only 662 candidates are in position while rest posts of CHOs are vacant.
4) Total approval for admission to CCH course in FY 2021-22 was 2100 for which advt. was published. Only 1537 candidates could qualify for admission. State has a capacity of admitting 1050 candidates in 25 PSC/LSC across the state. From 1537 qualified candidates, 105 candidates who had passed the Integrated course were directly posted as CHOs. Total of 1050 candidates are undergoing CCH training. Remaining 382 candidates would be admitted in Jan 2022 batch. 
For rest 563 candidates proposal is being carried forward in 2022-23. Since advertisement is being published for 4050 integrated course pass candidates, and until this process is complete, the roster for 563 cannot be finalized. </t>
    </r>
    <r>
      <rPr>
        <b/>
        <u/>
        <sz val="10"/>
        <color theme="1"/>
        <rFont val="Arial Narrow"/>
        <family val="2"/>
      </rPr>
      <t xml:space="preserve">
</t>
    </r>
    <r>
      <rPr>
        <b/>
        <sz val="10"/>
        <color rgb="FFFF0000"/>
        <rFont val="Arial Narrow"/>
        <family val="2"/>
      </rPr>
      <t>State proposes to recruit 3045 candidates through training. Details of Financial Calculation of candidates through training is given below (Anx-1).</t>
    </r>
    <r>
      <rPr>
        <sz val="10"/>
        <color rgb="FF000000"/>
        <rFont val="Arial Narrow"/>
        <family val="2"/>
      </rPr>
      <t xml:space="preserve">
(i) Examination Fees for selection of candidates - Rs.1000 per candidate (per norms)
(ii) Boarding; loadging and honorium/sustenance for candidate= Rs. 10000 per month (per norms), hence for 6 month=10000*6 = 60,000 per candidate.
(iii) IGNOU fees (including registration, training materials, contact sessions &amp; training, external assesment/ evaluation etc. = Rs. 15,000 per candidate
(iv) Transport for practicum - 3000 x 6 = 18000 per candidate
TOTAL - (i)+(ii)+(iii)+(iv)=94000.  Miscellaneous - 94000 x 10% - 9400
TOTAL - 1000+60000+15000+18000+9400 = Rs 103400
</t>
    </r>
    <r>
      <rPr>
        <b/>
        <sz val="10"/>
        <color theme="1"/>
        <rFont val="Arial Narrow"/>
        <family val="2"/>
      </rPr>
      <t>Grand Total = 103400 x 3045 (2100+382+563) = Rs 314853000</t>
    </r>
    <r>
      <rPr>
        <sz val="10"/>
        <color rgb="FF000000"/>
        <rFont val="Arial Narrow"/>
        <family val="2"/>
      </rPr>
      <t xml:space="preserve">
</t>
    </r>
    <r>
      <rPr>
        <b/>
        <sz val="10"/>
        <color theme="1"/>
        <rFont val="Arial Narrow"/>
        <family val="2"/>
      </rPr>
      <t>* In addition to above, administrattive approval of 4500 candidates who have passed Integrated course and are to be directly posted as CHO is also required. No additional Budget is required for this.
2.
INFRASTRUCTURE :2022-23
1) New Activity -
Required for re-painting and re-branding of 598 (419 APHCs; 84 HSCs and 95 UPHCs) Health Institutes developed as HWCs 3 years back. 
Funds being sought for 419  HWC-APHC proposed @ Rs 30000/- per APHC , Total amount is Rs-12570000 and for 84 HSC-HWCs proposed @ Rs 20000/- per HSC, Total amount is Rs - 1680000/-
Total amount is Rs 14250000/-
2) Continued activity- 
Proposed for Infrastructure strengthening of 1975 HSCs into HWCs @7 lakh per HSC. 
Total amount is Rs 1382500000/-    
Total amount proposed is 1396750000/-   
INFRASTRUCTURE :2023-24
No additional infra work approval required for next year.
OOC:2022-23
1) Continued activity- 
Proposed cost of one Laptop of total CHOs 3171 (expected by september 2022)  @ Rs 50000/- per Tablet. If we are able to recruit more CHOs, then proposal would be sent for procuring additional laptop subsequently.
Total amount proposed is Rs 158550000/-
OOC:2023-24
1) Continued activity- 
Proposed cost of one Laptop of total CHOs 3171  @ Rs 50000/- per laptop.
Total amount proposed is Rs 158550000/-
TRAINING:2022-23
1) Continued Activity-
Administrative Approval for 9949 HWCs @ Rs.10000/- per HWC for multi skilling of ASHA, ANMs and MPWs ie. Rs.99490000/-
40% of the amout (i.e Rs 39796000/-) being sought. In case more funds would be required it would be sought subsequently.
Total amount is Rs 3,97,96,000/-
2)  Continued Activity-
1) Administrative Approval is sought for 5140 CHOs' Induction Training @ Rs 7800/- per CHO the total amount being Rs 40092000/-. Out of this 50 % of funds is proposed for approval presently. Remaining funds, if required, shall be proposed in subsequently.
Total amount is Rs.20046000/-
3) Continued Activity -
Administrative Approval is sought for 5140 CHOs Training on Elderly and Palliative Care @Rs 6500/- per CHO the Total amount being Rs - 33410000/- .Out of this 25 %  of funds Proposed for approval presently and funds if required, shall be proposed subsequently.
Total amount is Rs 8352500/-
4) Continued Activity -
Administrative Approval is sought for 5140 CHOs on MNS and Substance use Disorder Care  @Rs 5500/- per CHO. Total amount being 28270000/- .Out of this 25 % of funds is Proposed for approval presentlyand funds if required, shall be subsequently.
Total amount  is Rs.7067500/-
5) Continued Activity -
 Administrative Approval is sought for  5140 CHOs on Oral,Eye, ENT and  Emergency care   @Rs 7500/- per CHO the Total amount ie - 38550000/- .Out of which 25 % of funds is poposed presently and additional funds if required, shall be proposed subsequently.
Total amount proposed is Rs.9637500/-
6) Continued Activity:
Training of 25% MOs (1379) and 25% SN (1379) @ 10000/- per MO/SN
25% MOs (1379) and 25% SN (1379)
Total amount is Rs.69,00,000/-
7) Continued Activity -  
Approved in this FMR Code in ROP (2020-21)                                                                                                            1). Proposed honoraium for Yoga instructors @ Rs. 250/- per session  for 10 sessions per month for 3000 HWCs( expected to be operational by March 2022) for a total of 12 months.
Admin Approval is sought for the total amount ie. Rs.90000000 /- (3000X250X10), Out of which 50% of the  Budget  i.e Rs. 45000000 is  being sought in PIP 2022-23. Additional funds, if required, shall be sought subsequently.Total amount is Rs 4,50,00,000/- Total amount proposed is Rs.136799500/-
TRAINING:2023-241) Continued Activity-Administrative Approval for 9949 HWCs @ Rs.10000/- per HWC for multi skilling of ASHA, ANMs and MPWs ie. Rs.99490000/-
40% of the amout (i.e Rs 39796000/-) being sought. In case more funds would be required it would be sought subsequently.
Total amount is Rs 3,97,96,000/-
2)  Continued Activity-
1Administrative Approval is sought for 5140 CHOs' Induction Training @ Rs 7800/- per CHO the total amount being Rs 40092000/-. Out of this 50 % of funds is proposed for approval presently. Remaining funds, if required, shall be proposed in subsequently.
Total amount is Rs.20046000/-
3) Continued Activity -
Administrative Approval is sought for 5140 CHOs Training on Elderly and Palliative Care @Rs 6500/- per CHO the Total amount being Rs - 33410000/- .Out of this 25 %  of funds Proposed for approval presently and funds if required, shall be proposed subsequently.
Total amount is Rs 8352500/-
4) Continued Activity -
Administrative Approval is sought for 5140 CHOs on MNS and Substance use Disorder Care  @Rs 5500/- per CHO. Total amount being 28270000/- .Out of this 25 % of funds is Proposed for approval presentlyand funds if required, shall be subsequently.
Total amount  is Rs.7067500/-
5) Continued Activity -
 Administrative Approval is sought for  5140 CHOs on Oral,Eye, ENT and  Emergency care   @Rs 7500/- per CHO the Total amount ie - 38550000/- .Out of which 25 % of funds is poposed presently and additional funds if required, shall be proposed subsequently.
Total amount proposed is Rs.9637500/-
6) Continued Activity:
Training of 25% MOs (1379) and 25% SN (1379) @ 10000/- per MO/SN
25% MOs (1379) and 25% SN (1379)
Total amount is Rs.69,00,000/-
7) Continued Activity -  
Approved in this FMR Code in ROP (2020-21)                                                                                                            Proposed honoraium for Yoga instructors @ Rs. 250/- per session  for 10 sessions per month for 3000 HWCs for a total of 12 months.
Admin Approval is sought for the total amount ie. Rs.90000000 /- (3000X250X10), Out of which 50% of the  Budget  i.e Rs. 45000000 is  being sought in PIP 2022-23. Additional funds, if required, shall be sought subsequently.
Total amount is Rs 4,50,00,000/- 
Total amount proposed is Rs.136799500/-
MENTORSHIP:2022-23
1) Continued Activity:
Mentorship by Medical College faculty @Rs.35000 per month for 16 Medical Colleges for 12 months-  Total amount is Rs 6720000/-
2)Continued Activity:
 Bi - Annual State level review meeting on HWC Programme -Proposed for 152 District Programme Managers (DPMs, DPCs &amp; DM&amp;EOs, DFLCs) half yearly orientations &amp; review meetings on HWC program  @ Rs. 250/- per participant - 152 X 2 X Rs. 250/- = Rs. 76,000/-
3) New Activity: Mobility support of CHOs @ 500 pm                                                                                             
1) Proposed remuneration for 1129 CHOs (662+105+362) for 12 months - Rs 6774000/- 
2) Proposed remuneration for 840 (July 2021 Batch assuming 80% Pass out rate ,out of 1050) for 12 months - Rs 5040000/- 
3) Proposed remuneration for 2025 CHOs (50% of 4050 through integrated course) for 12 months - Rs12150000/-
4) Proposed remuneration for 306 new CHO (Batch Jan 2022 Batch assuming 80% Passout rate, out of 382) for 9 months - Rs 1377000/-  
5) Proposed remuneration for 840 new CHOs (July 2022 Batch assuming 80% Pass out rate, out of 1050) for 3 months - Rs.1260000/-
Total amount is Rs. 26601000/-
Total amount proposed is Rs. 33397000/-
MENTORSHIP:2023-24
1) Continued Activity:
Mentorship by Medical College faculty @Rs.35000 per month for 16 Medical Colleges for 12 months-  Total amount is Rs 6720000/-
2)Continued Activity:
 Bi - Annual State level review meeting on HWC Programme -Proposed for 152 District Programme Managers (DPMs, DPCs &amp; DM&amp;EOs, DFLCs) half yearly orientations &amp; review meetings on HWC program  @ Rs. 250/- per participant - 152 X 2 X Rs. 250/- = Rs. 76,000/-
3) New Activity: Mobility support of CHOs @ 500 pm                                                                                             
1) Proposed remuneration for 8570 CHOs for 12 months @ 500 per month.
Total amount is Rs. 51420000/-
Total amount proposed is Rs.58216000/-
Continued Activity:-
NHM has approved the construction of 696 Units of New HWC's  @ 0.75 Crore per unit.
* Total Project cost = 522.00 Crore
* Amount required FY 2022-23= 261.00 Crore @ 50% of total project cost.
* Amount required FY 2023-24= 261.00 Crore to complete the project.
Since approval of construction of 696 HWC was given earlier, hence reapproval for the same is solicited as committed amount provission is not allowed as per new PIP norms.</t>
    </r>
  </si>
  <si>
    <t>New Activity:-
Owing to increased OPD/IPD load and consequent appointments of MO and staff at SDH level; There is a  huge scarcity and dire need of residencial quarters (MO/Staff qurt) at SDH Level. The requision for the same is being floated by SDH on regular basis. The State proposes construction of 2 unit staff qrt. at 41 SDH's.
* Total Project Cost= 123.00 Crore.
* Amount Proposed for FY 22-23=24.60 Crore @ 20% of total project cost.
* Amount Proposed for FY 23-24 = 98.40 Crore is needed to complete the construction.</t>
  </si>
  <si>
    <t xml:space="preserve">Continued Activity:-
(A) An amoumt of Rs. 348.50 Crores was approved by NHM for upgradation of 50 PHC's into CHC's in FY- 2021-22 @ 6.97 Crores per unit.
An amount of Rs. 87.125 Crore (25% of total project cost) was released.
The balanace amount of Rs. 261.375 Crore is needed to complete the project.
The State solicits the approval for the same. 
(B) New Activity:-
As per IPHS norms; one CHC is required against a population of 1.20 Lakhs.
As per census 2011; State needs 867 CHC's to cater the need as per IPHS norms. 
At present State has only 256 upgraded CHC's and the upgradation at 136 places is under way.
State hereby proposes upgradation of another 50 unit 6 bedded PHC's into 30 bedded CHC's to narrow down the gap existing in the State as per IPHS norms.
* Total Project Cost= 385.00 Crore.
* Amount Proposed for FY 22-23=77.00 Crore @ 20% of total project cost.
(C)  An amoumt of Rs. 75.00 Crores was approved by NHM for construction of 100 unit Asha/ANM Meeting hall at PHC/CHC's level in FY- 2021-22 @ 0.75 Crores per unit.
* An amount of Rs. 37.50 Crore (50% of total project cost) is required for FY-22-23.
* The balanace amount of Rs. 37.50 Crore would be needed in FY 23-24. 
</t>
  </si>
  <si>
    <r>
      <t xml:space="preserve">
New Activity For establishment of Common Collection Point for Biomedical waste  in 10 MCH, 36 DH, 45 SubDivisional Hospitals and 67 Referral Hospitals  In FY 2022-23 and 533 CHC/PHC in FY 2023-24 @ 1.50 lakh per Common Collection Point. So total 237 lakh required for 158 (10 Medical college, 36 District Hospitals, 45 Subdivisional Hospitals, 67 referral Hospitals) Healthcare facilities in FY 2022-2023 and 799.5 lakh is required for 533 PHC/CHC in FY2023-24.
2.New Activity:- 
*17.00 Crore is required for miscelleneous Infrastructure works nunder infrastructure maintenance in FY-2022-23.
*An amount of 17.00 Crore is required for miscelleneous Infrastructure works nunder infrastructure maintenance in FY-2023-24.
</t>
    </r>
    <r>
      <rPr>
        <u/>
        <sz val="12"/>
        <color rgb="FF000000"/>
        <rFont val="Arial Narrow"/>
        <family val="2"/>
      </rPr>
      <t>New activity for equipment :</t>
    </r>
    <r>
      <rPr>
        <sz val="12"/>
        <color rgb="FF000000"/>
        <rFont val="Arial Narrow"/>
        <family val="2"/>
      </rPr>
      <t xml:space="preserve"> As part of key deliverables, we are required to meet IPHS equipment standard for DHs &amp; SDHs. We intend to carry out equipment &amp; any other minor gap analysis based on IPHS norms in all the 36 DHs and 45 SDHs. We are expecting requirement of Rs. 20 lakh per DH and Rs. 10 lakh per SDH for such gap fillings. Hence, the amount required is Rs. 1170 lakhs. We are asking for Rs. 585 lakhs (50% amount) in FY 2022-23 and rest Rs. 585 lakhs next year (FY 2023-24).                                                                   </t>
    </r>
  </si>
  <si>
    <t>Continued Activity,
for the consumable of Cataract surgery for the district hospitals.
Per Cataract  Surgery Rs.1000/- out of that Rs 750/-  for the consumable of Cataract surgery and Rs 250/- for the Surgeon, Ophthalmic Assistant, Eye OT Staff &amp; maintenace of Eye OTs.</t>
  </si>
  <si>
    <t>Continued Activity,
In PMCH Patna and RIO, IGIMS Patna Eye Bank is functional, Cornea collection and Keretoplasty facilities is Available.</t>
  </si>
  <si>
    <t>DBT: Treatment Supporter Honorarium (Rs.1000) for treatment supporters and chemists (estimated number 50000); One time payment upon the update of outcome of the treatment of Drug Sensitive TB patients'     
CIVIL WORK:  SDS expansion and training hall refurbishment at STDC Darbhanga and new building establishment TBDC Patna. DTC building establishment at Bhojpur and Bettiah District. TB Units establishment at 12 sites, Patna (9), Muzaffarpur (1), Sitamarhi (1), Darbhanga (1). Expansion of DDS to accommodate TPT and TB testing logistics. 
EQUIPMENT: 1.Colour coded BMW disposal container and liners,Mask, sanitizer, etc. at 736 DMC sites 2.Maintenance of DMC euipments, Microscopes under AMC(LED &amp; Binocular), Refrigerators, ECG Roll paper 3. Requirement of UPS replacement at CBNAAT machine and fire extinguisher at SDS/DDS sites  in 2 years of time. Procurement of refrigerator at TrueNat sites expanded gradually to all blocks in 2 years of time.  4. Office equipment at STC, SDS, DTC, DDS and existing  tablet maintenance during the course of the year as per need. 
DRUGS AND SUPPLIES: 1.Local procurement of loose drug as per need. 2. Drug boxes and 99dots sleeves. 3. NAAT logistic tansportation.
 DIAGNOSTICS: 1.Sample transport cost from District to IRL/CDST lab, Non DMC PHI to NAAT site or DMC, travel cost to DR TB patients . 2. Microscopy testing consumables etc., Xray plates for 28 Xray Sites.
CAPACITY BUILDING: Training/Refresher on Revised NTEP CDO/MO-DTC (Modular),Training of LT,STS.STLS (New Recruitment), DEO/DPC/ DPM training on NTEP Nikshay and nikshay aushadhi including TA/DA,CME at all medical college faculty,PGs, interns and Private doctors in district, Community PRI meetings, sensitization. 
ASHA INCENTIVES:  Contact Tracing visit for TPT. 
OOC:  ACF for  covering 10% population to be incentivised @ Rs 100 / community volunteer (two  in a team) /day. Twice a year. Planned printing for TB notification booklet for Private health care providers and other program reporting and recording formats and registers and at district level. 
SRRE: 10 districts recommended for Bronze medal for subnational TB free certification, Thesis and OR cost for medical college PG students and faculty, Internal Evaluation @ 0.80 Lakhs including other joint supervision visit in state, STF meeting operation in each quarter, State &amp; District TB forum biannual meetings @ Rs 10000 &amp; Rs 5000 per district respectively.
New Activity:-
The existing NTEP building situated at Agamkuan Patna is in complete delapealeted stage. Hence there is a dire need of a new buildiing to cater the existing needs related to theprograme. Rough estimate based on plinth area rate required approximitly Rs. 30.00 Crore for the new construction which would includs various other components likes boundary wall, landscaping, Rain Harwesting, DOT Centre , NAAT Lab, Drug Store etc. to name a few.20% of the total project cost i.e. 6.00 Crore is needed for Current FY.
* Remaining amount of Rs 24.00 Crore is needed for FY-2023-24. It may please be noted that technically approved estimate before administrative approval is subject to variance.
In principle approval is solicited from NHM.</t>
  </si>
  <si>
    <t>Renovation/Repair/Upgradation of facilities for IPHS/NQAS/MUSQAN/SUMAN Compliant</t>
  </si>
  <si>
    <t>SHSRC / ILC (Innovation &amp; Learning Centre)</t>
  </si>
  <si>
    <r>
      <t xml:space="preserve">Continued activity : (1) Any other (please specify) Training of SPMSU staff, We train the state level staff at many reputed organisation across the country viz IHMR, XLRI, AIIMS, NIHFW, IIPH etc. Budget Rs. 500000/- (2) Any other (please specify) Training of DPMSU staff, To enhance the capacity of different staffs at district &amp; block level, this fund is needed, Budget Rs. Lakhs 19.00 @ 50000/- Per DHS 38 (BPMSU Included), (3) Any other (please specify), Post Graduate Diploma in Family Mecicine Course for Mos, Budget Rs. Lakhs 6.30 @ Rs. 90000/- batch (total Persons 07). 2.Continue Activities-  total amount proposed for FY2022-23 is 485.19 Lakh and for FY 2023-24 is 528.78 Lakhs (for Statutory Audit Fees including reconcilation fees Rs 108.25 Lakh &amp; 114.15 Lakh,  for Concurrent Audit fees Rs 283.20 lakh &amp; 311.52 Lakh, for CUG/Internet cost for DAM/RAM Rs 3.74 Lakh &amp; 4.11 Lakh, for accounting software cost Rs 60 lakh &amp; 66 lakh and capicity building-cum-training -cum-workshop for SNA for Finance &amp; Accounts Officials Rs 30 Lakh &amp; 33 Lakh for FY 2022-23 as well as FY 2023-24 respectivily). details as per Annexure.3.Mobility Suppor &amp; others expencest for SPMU-1/RPMU-9/DPMU-38/BPMU-533/FRU-149/SVS-1
4.Leadership and Management development program for health workers. MOU has been signed with IIM-BG on 22nd nov 2021 for training. 
Leadership and Management development program for health workers. MOU has been signed with IIM-BG on 22nd nov 2021 for training. 
The Leadership Development Program has been initiated by the department of health and SHSB in collaboration with the Piramal Foundation to make the personal transformation and build the agency in health personnel in Bihar to serve people. This program provides frameworks for senior administrative officers, managers, middle managers, and frontline health workers of the health system. The framework has been designed to have personal transformation, compassion, empathy, dignity, motivation to serve, and leveraging the positive attributes of a work environment through the health personnel, especially in the health system. </t>
    </r>
    <r>
      <rPr>
        <u/>
        <sz val="12"/>
        <color rgb="FF000000"/>
        <rFont val="Arial Narrow"/>
        <family val="2"/>
      </rPr>
      <t xml:space="preserve">
S</t>
    </r>
    <r>
      <rPr>
        <sz val="12"/>
        <color rgb="FF000000"/>
        <rFont val="Arial Narrow"/>
        <family val="2"/>
      </rPr>
      <t>tate level workshops Rs.200000x3 nos. Monitoring of DHAP implementation by State Rs.40000 in12 months and miss. Exp ( Like Repairing , Maintenance exp. cell,printer etc.) Rs.180000. Exposure Visit and Training for Planning in other State/NHM Rs. 100000.Continued Activity:- In this Year budget increase due to No of HPD DIstrict is increased .
 (DHAP workshops Rs.20000 per district x 18 Non HPD districts +26000 Per HPD dis.x 20+ Rs.2000 per month per Non HPD and 2600 per month HPD Dis. district for planning related office expednitures like photocopying etc. For mobile re-charging of Rs.400 pm per DPC. Rs. 2518400
Workshop for Planning Activity:-Block level participants 534*3= 1602(BHM,B.A,BCM)District Level Partcipants 38*4= 152(DPM,DAM,DPC&amp; D M&amp;E)
Regional Level Participants 9*2= 18 (RPM,RAM)State Level Participants 7(State Planning Team)*9=63Total Participants =1835 @ RS.1000= 1835000
State Level Participants Accomodation @ Rs.2500*7*9=157500 Continued Activity , additional villages to be taken up for village planning  (Rs.2000 per BHAP * 253Non HPD &amp;  2600 per280 HPD Districts block ). For VHAP and HSC Plans expenses towards calling meetings at HSC/Village level for refreshments and other miscellaneous expenses  for conducting meeting like  markers, chart papers etc shall be facilitated through Untied fund.</t>
    </r>
  </si>
  <si>
    <t>Remunaeration for all SD,PM,Nursing Cell staff including EPF, Increment and Experience Bonus
FMR Code 16.3.1
Outsourced DMU (Data Management Unit) with DEO &amp; Computer, Printer, Internet &amp; others periferals for data entry/compilation/updation/monitoring etc at 1100 location (State, RPMU, DPMU, BPMU, DH/SDH/CHC/PHC level.) at the rate of Rs.21343/- per DMU per Month 
Calculation:- Rs.2817.28 lakhs(Rs.21343x1100x12 months)</t>
  </si>
  <si>
    <t>(Medical officer and SN/ANM incentive for Maternal Health.
Continued Activity. 
1.) (a) Additional Incentive to team for conducting C.Section @3000 per Case for 10080 Cases= Rs.30240000.
2). Since the number of HPD has been increased from 10 districts in 2017-18 to 20 Districts in 2018-19 therefore the funds has been demanded for 20 districts accordingly. 
(A) Incentive for Identification of HRP: 9752 cases @Rs. 1000= Rs. 9752000.
(B) Incentive proposed for ANM for conducting deliveries at SCs: 6750 cases @Rs. 300= Rs.2025000.
(C) Incentive proposed for ANM/Staff Nurse for conducting deliveries at APHCs: 21600 cases @Rs. 300= Rs. 6480000.
(D) Incentive proposed for HSC team for improving a set of HSC team: 1426 cases @Rs. 5000= Rs.7130000. 
Total-A+B+C+D= Rs.25387000
Grand total- Rs. 30240000+25387000= Rs. 55627000.
3.. FMR 8.4.5+8.4.7+8.4.8 (Performance reward+Incentives to service providers for PPIUCD +n PAIUCD)-342.48 lakhs
4. In Rs. 17.16 lakhs proposed for incentives of lab tec.@Rs.20 per case at 43 dis. lab and 4 State lab.
Group Accident Policy INR 500 per employee for Rs 10 Lakhs and Medical Health Policy INR 6000 per employee for Rs 5 Lakh ( Details Attached) Budget: 162500000/- for approx 25000 staff.</t>
  </si>
  <si>
    <t xml:space="preserve">Continued activity : (1)  SBA ToT @ Rs. Lakhs 250000/- batch, (2) Training of Staff Nurses in SBA, Total Budget Rs. Lakhs 74.52 @ Rs. 186300/- batch (total batches 40), (3) Training of ANMs / LHVs in SBA, Total Budget Rs. Lakhs 242.19 @ Rs. 186300/- batch (total batches 130), (4) ToT for EmOC- for faculty of Medical Colleges on Operational Guidelines Comprehensive Emergency Obstetric and Newborn Care (CEmONC) Budget Rs. Lakhs 3.00 @ Rs. 300000/- batch (total batches 01), (5) Training of Medical officers in EmOC Budget Rs. Lakhs 39.54 @ Rs. 1976800/- batch (total batches 02), (6) ToT for Anaesthesia skills training- for faculty of Medical Colleges on Operational Guidelines Life Saving Anaesthesia Skills (LSAS) Budget Rs. Lakhs 3.00 @ Rs. 300000/- batch (total batches 01), (7) Training of Medical officers in life saving Anaesthesia skills Budget Rs. Lakhs 39.92 @ Rs. 1996100/- batch (total batches 02), (8) BEmOC training for MOs/LMOs Budget Rs. Lakhs 11.40  @ Rs. 190000/- batch (total batches 06),  (9) SBA Training in Private Health Facilities, Budget Rs. Lakhs 51.42, @ Rs. 214245/- batch (total batches 24), (10) Training of General Surgeons for Performing Caesarean Sections and Managing Obstetric Complications, Budget Rs. Lakhs 2.00  @ Rs. 100000/- batch (total batches 2) and (11)           
New activity: Refresher SBA Training is proposed to trained those ANM/LHVs/SN who are posted in high home delivery Block of respective district Katihar, Muzaffarpur, East Champaran, Sheohar, Saharsa, West Champaran, Rohtas, Jamui, Gaya, Madhubani, Sitamarhi and Lakhisarai. FY 2022-23 Budget Rs. 26.40 Lakhs @ Rs. 52800/- batch (total batches 50) and FY 2023-24 Budget Rs. 26.40 Lakhs @ Rs. 52800/- batch (total batches 50).             
Continued Activity-1Amount of Rs.12.14 lakh has been proposed for Dakshta traning. Total of 11 batches of traning will be conducted at Regional Level and 9 batches conducted Medical College. Total 20 batches.a) Regional level traning @Rs.76650 per batch for 11 batches= Rs.843150
b) Medical Colleges traning @Rs.41250 per batch for 9 batches= Rs.371250.Total Budget- Rs.843150+Rs.371250= Rs. 1214400. Details Annexed.
Activity-2Amount of Rs. 6.89 lakh has been proposed for DakshtaToT.Total of 2 batches of ToT will be conducted at state level. ToT- 2 batches@Rs.344713 per batch=Rs. 689426 Details Annexed.
Printing of various types SBA, IMNCI &amp; Training Calendar and balance payment of printed materials, Rs. 27.38 lakhs proposed.
</t>
  </si>
  <si>
    <t>1. The budget is proposed for printing of work plan @ 1 work plan per ASHA per month for 12 months @ Rs.3/- per work plan.
2. 17814 (3802 Tablet received from GoI + 14012 Tablets procured through BMSICL, Patna) have been provided to ANMs for Data Entry/Updation in ANMOL App &amp; Other Applications. The AMC (included MDM) period of above tablets has been completed. Hence, fund is proposed for providing the facility of MDM (Mobile Device Management) of above tablets @ Rs.802/- tablet for 1 year, so that state can whitelist the desired department use application only, while all the unnecessary applications like – Facebook, Twitter, Youtube, Video Games etc. can be blacklisted centrally, the department state can install any new application or update any existing application on any tablet remotely, state notifications / messages can be sent through text, PDF, Word Doc, PPT File simultaneously on all the tablets. The ANM can only use the tablet for officials purposes.  Total fund proposed for AMC of Tablets : 142.86 Lakh.
3. The amount of Rs. 161.40 Lakh has been proposed for procurement of tablets for 1076 ANMs @ Rs.15,000/- per tablets. During NPCC Meeting, it has been discussed and directed to provide the cost of tablet to 1076 ANMs in the form of incentives. The ANM will procure tablet and they will get the reimbursement of cost of the tablet in the form of incentives within the period of 3 years. Hence, the fund is proposed @ Rs.417/- per ANM per month in the form of incentives. Hence, the total proposed fund is Rs.53,84,304/- (1076 ANMs X 12 months X Rs.417/-) for FY: 2022-23 and same amount for FY:2023-24.
Total fund proposed for requirement of Tablets : 53.84 Lakh.
2. . Budget proposed Rs. 364.31 lakh for printing of 60000 RCH Register @Rs. 607.18*60000= Rs.36430848. With 18% GSTand Rs. 30.24 lakhs for MCTS formats. Same number is proposed for 23-24 also. Details Annexed.</t>
  </si>
  <si>
    <t xml:space="preserve">1. RBSK Equipment, Continued Activity,
For maintenance of equipment's of mobile health teams @ Rs.8,000 / team x 772 existing mobile health teams = Rs. 61,76,000/- .2- RBSK Drug, Continued activity,
For procurement of 12 medicines which are not part of State EDL need to be procured under RBSK.Estimated cost for procurement of medicines which are not part of state EDL for each team per month is Rs. 2400.84 /month. Total 772 MHTs are currently functional in the State So, the total cost = Rs. 2400.84 x 11 months x 772 team= Rs. 203.879 LakhsDetail Annexed
3-RBSK Capacity Building, New Activity –Refresher Training of Mobile Health Teams to strengthen programmatic activities
• State level 3 days refresher training of AYUSH Doctors in 4 batches. Total 114 AYUSH Doctors will be trained at State level. Cost of 4 batches = Rs. 7,11,800/-
• These trained doctors will impart training to district level team members of MHTs. Total 2253 members of MHTs will be trained in 75 batches. Total budgeted cost will be Rs.18,14,900/-Total proposed budget under this FMR code is Rs. 25,26,700/-4-RBSK Capacity Building, New Activity 
State has completed the recruitment of DEIC Manager cum RBSK Coordinator. To carry out their responsibility these Coordinators need to be trained on technical and managerial aspect of RBSK. The training will be of 5 days at State Level. The budget required for training is Rs.3,18,800/- (Detailed budget annex.)
5-RBSK OOC, Continued Activity, Vehicle support proposed for 772 Mobile Health Teams + 38 District Coordinator-RBSK 
1- 772 vehicles for 772 MHT X @ Rs. 34,000/Vehicle X 12 Months = Rs. 31,49,76,000/-2- 38 vehicles (38 District Coordinator-RBSK) X @ Rs. 20,000/Vehicle X 12 Months = Rs 91,20,000/- So, the total amount demanded = (Rs. 31,49,76,000 + Rs 91,20,000) Rs. 32,40,96,000/-
6-RBSK OOC, Continued Activity, 
830 CUG Connections and Rental Data Card for 772 MHT + 09 DEIC + 38 District Coordinators-RBSK + 09 Hospital Coordinators + 02 State office 
830 CUG Connection @ Rs. 100/ Unit X 12 Months = Rs. 9,96,000/-
830 Data Rental Plan @ Rs. 250/ Unit X 12 Months = Rs. 24,90,000/-
So, the total amount demanded = (Rs. 9,96,000 + Rs. 24,90,000) Rs. 34,86,000/-
7-RBSK OOC, Continued Activity
801 laptops were provided to MHTs in 2018 which now require maintenance like;- replacement of batteries and keypad, formatting, antivirus etc. For annual maintenance Rs.2500 per laptop is budgeted i.e = Rs.2500*801=  20,02,500/-
8RBSK IEC Printing, Continued Activity
Printing of Health Cards &amp; Register and Banner
The total cost of Rs. 447.95 Lakhs (Detail Annexed)
9-RBSK Planning &amp; M&amp;E, Continued Activities 
1- Convergence Meetings- 2 State level convergence meeting @ Rs. 3900/meeting x 2 meetings = Rs. 7,800/- 
2- 4 State level quarterly meeting of representatives of district (District level personnel involved in the programme). @ Rs. 1,09,600 /meeting x 4 meetings = Rs. 4,38,400 /- 
3. District level Quarterly meeting- District nodal officer, who is ACMO of the district holds monthly meeting with mobile health teams at district level. District level quarterly meeting of 2 representatives (One AYUSH doctor + One Pharmacist) from each mobile health team is important.
For 38 districts x 04 Quarter = 152 meeting needed at the cost of Rs. 6,93,600 /- 
The total cost of Rs. 11,39,800/- (Detail Annexed)
Total-61.76+203.88+25.27+3.19+3240.96+34.86+20.03+447.95+11.40=  Rs.4049.30 Lakhs
</t>
  </si>
  <si>
    <t>Continued Activity. Budget is being proposed for 
1. Operational cost of SNCU, NBSU, NBCC, FPC and Paeditraic Unit.
2. training of Paed. MO and SN under FBNC, NSSK, NBSU program
3. Procurement of equipment(Radiant warmer, Phototherapy Unit, Infusion Pump, Incubator, Multipara Monitor, Billirubinometer etc for SNCU,NBSU, NBCC
4. Minor Repair and renovation of 22 SNCU
5. Mentoring visit of SNCU @83500 per visit under MusQAN program for 8 mentring visit = 8*83500 = 6.68 lakh
Budget proposed for training of Paed. MO, SN, Facility incharge, Hospital Manager under Musqan@4.22 lakh per batch for one batch in FY 22-23.
Same Budget is proposed for FY 23-24 with 7% additional amount proposed
Continued Activity:-
Payment to be given to TCIL for Cosntruction of 34 SNCU's
Printing of 14 types SNCU Card, Formats, Registers, Manuals etc. and Newborna care and stabilization corner register.
Rs. 35.06 lakhs demanded for this and previous year unpaid bills (Annexure is attached as RCH-3)</t>
  </si>
  <si>
    <t>Budget is being proposed for incentive of ASHA, ANMs and verbal autopsy team.
Rs. 15.78 lakhs for printing of various types Child Death Review formats and rest balance amount of unpaid bills (Annexure is attached as RCH-3)</t>
  </si>
  <si>
    <t>Continued activity : F-IMNCI Training for Medical officers, By this training the better health services to the children. Budget Rs. Lakhs 34.23 @ Rs. 570500/- batch (total batches 06).
2.
budget is proosed for 
1. one day review on SNCU/NBSU/NRC,at State level@121500 per meeting = 2 meeting*121500 =2.43 lakh
2. one day review at Regional level on Child health @97600 per Region =9*97600 = 9*97600 = 8.79 lakh
3. state level review meeting  on Child health programs biannualy@rs.100000 per review meeting = 2 meeting*Rs.100000 = 2 lakh  3. IEC relative activity reg. Child health (Detail in annex.) budget is proosed for state level review meeting of Child Health programs
IEC &amp; Printing : Rs. 13.39 Lakhs proposed for Child Health ohter various components IEC &amp; Printing. Details attached.</t>
  </si>
  <si>
    <t>Continued Activity…
Fund requested for Operational cost for Immunization including different types expenditure related with R.I. e.g.   Consumbles computer including Internet Cost etc. for DIO office, Focus on slum &amp; under served areas. Mobility Support and IMI Budget, Mobilization, Hub Cutter, Session site waste Mgt., Capacity Building under Immunization, AFP, VPD Surveillane etc, AVD, POL for vaccine transportation, Cold Chain Maintenance, Operational Cost for  SMNET support from UNICEF &amp; Feild Monitor funding support to WHO. etc. SMNET &amp; FM Support to WHO. The GoI approved fund will be transfere to the UNICEF &amp; WHO to operationalize the concern project.Printing and IEC - Printing of various types formats as per beneficiary Rs. 20, various IEC/BCC Activities, outdoor campaigns etc. and Rs. 182 lakhs for balance amount of unpaid bill of FY 2021-22, Total Rs. 1098.24 lakhs.(Annexure is attached as RCH-4)</t>
  </si>
  <si>
    <t>Continued Activity
Capacity Building
State has proposed 5 trainings (1 MO, 2 for GNM/ANM and 2 for RMNCH+A Counsellor (new recruitment) for AFHC. All training will be organised at State Level.  Proposed budget under capacity building is Rs. 12.18 Lakhs (2.26 for MO, 4.96 for GNM/ANM and 4.96 for RMNCH+A counsellors).  
OCC
OCC includes operating cost of AFHC (208 @Rs 12000) i.e 24.96 Lakhs, 9 new AFHRC (8 at SHP districts and 1 Medical College at Patna) @ Rs. 1.0 lakhs per AFHRC i.e 9.0 Lakhs. Total proposed budget under OCC = 33.96 Lakhs.
Planning and M&amp;E
Under M&amp;E head state is proposig to organise review meeting at State and District Level. At State Level 3 batches are proposed covering 38 districts for 2 times i.e total 6 batches. Two meetings are district level twice in a year i.e 76 meetings. Proposed budget at State level @98,880/- per batch = 5.93 Lakhs and @ Rs.15000/- per meeting at district level =11.40 Lakhs.  Total proposed budget = 17.33 Lakhs.IEC &amp; Printing - Printing of  2 types training manual and 3 types AFHC Registers. Details attached.</t>
  </si>
  <si>
    <t>Continued Activity
Capacity Building
A) State is proposing to saturate 5 aspirational/SHP districts with PE program in next two years. To train the Peer Educators, TOT will be organised at district level and they will in turn be responsible to train PE at PHC. State is proposing to train six person from each Block  as trainers and they will be responsible to train PEs in their Block. Total 81 blocks are there in these 5 districts. Total 486  master trainer will be trained in 14 batches (35 participants per batch). Budget for one batch
residential training is Rs. 3,14,000/-. Total proposed budget for 14 batches = Rs.43.96Lakhs.
B) State is planning to select 27980 Peer Educators involving 13990 ASHAs in the next two FY in 5 districts. In the FY 2022-23, 13990 PEs and their ASHA 6995 will be imparted 6 days non- residential taining at sub-center level in 420 batches. Budget for one batch= Rs.1,26,950/-. Total budget = Rs.533.19 lakhs.
Total proposed budget under capacity building = Rs.577.15 lakhs.
ASHA Incentive
ASHA will be incentivised for 2 activities - selection of PEs @Rs.100 per PE = 13990 i.e 13.99 and mobilising adolescent and community members @Rs.200 per AHD two times in a year. Total  32475 ASHAs will be involved = Rs.129.90 lakhs. Total proposed budget is Rs.143.89 lakhs.
OCC
a) AHD - State has proposed to celebrate AHD in all  13,308 schools in 14 districts under SHP. State is proposing to organise 2 AHWD in the FY 2022-23 in each schools. Budget is calculated @2500/- per AHWDs. Total budget = Rs.665.40 Lakhs.
b) AFC- In the FY 2022-23, State is proposing to select 13990 PEs involving 6995 ASHAs. AFC will be constituted  with these selected PEs. 10 ASHA and their 20 PEs will constitute one AFC. Total 700 AFCs will be consituted. State is proposing to conduct AFC meeting for 6 months since prior to the meeting PEs will be selected and trained. Rs.500/- per AFC meeting for 6 months is budgeted for FY 2022-23. These meetings will be held at sub-center level.  Total Budget = Rs.20.99 Lakhs.
c) Incentive for PEs:- In the FY 2022-23, 50% PEs will be selected and trained covering all blocks of the district and rest 50% in the FY 2023-24. 
Total  13990 ASHAs are functional in these 5 districts.  In the FY 2022-23 50% ASHA will select 2 PEs from their working areas i.e 6990 to select  13990 PEs in each FY.  
 Non -monitory  incentive will be given to 13990 PEs @ Rs 50 per month for 9 months. Total Budget = Rs.62.96Lakhs.
Total proposed budget is Rs.749.35 lakhs.Printing of various Peer Educatior Kit, Card, Bag etc., Rs. 80.43 Lakhs.</t>
  </si>
  <si>
    <t>1. Revised Compensation for female ster. as per MPV guidelines. (Rs 13050 laks -under DBT)
2. Minilap kit- {148 FRU + 534 CHC + 534 PHC (24X7){ X 2 kits + 18 RTC X 1 kit. @ Rs 7000/kit (171.50 lakhs- Equipment)
3. Training- ToT-3 trainees per batch &amp; 3 days training 3 batch@ Rs 83662.5 = 2.51 lakhs + Induction-4 trainees per batch &amp; 12 days training, 18 batch@Rs 1.5 lakhs= 27 lakhs + Refresher- 4 trainees per batch &amp; 3 days training 18 batch@Rs 52000= 9.36 lakhs. Total= 38.87 Lakhs under capacity building.
4. (OOC)- FDS- 534 CHC (7 months X 1 FDS + 5 months X 2 FDS) + 534 (24X 7) PHC X 4 FDS (1  FDS per MPV Drive), 11214 FDS@Rs 5000= 560.70 lakhs +Process of Accreditation process of Private Nursing home &amp; COT Team by DQAC = 2.50 lakhs + Drop back after ster.-100000 cases X Rs 250= 250 lakhs. Total= 813.2  lakhs
5. IEC &amp; Printing- 34.59 lakhs for female ster. related records &amp; registers. Details Attached.</t>
  </si>
  <si>
    <t xml:space="preserve">Equipment (Including Furniture, Excluding Computers)
Continued Activity: In ROP 20-21 Rs 360 lakhs were approved for 800 Hb meter and 2000 lancet /strips for each Hb meter for RBSK MHT. As RC have not be finalized and there is fresh rate contract process going on for HB meter procurement hence budget proposal is being placed for year 22-23.                                                                                                                                                                1) For procurement of 11032 Hb meter ( 1 Hb meter per RBSK MHT= 772  +  1 Hb meter per HSC (10258 Health sub centers )=10258 + 2 at state for training purpose )  Budget required for 11032 Hb meter @Rs 5000= Rs 5,51,60,000  .                                                                                                                                                                                   2) 2000 Cuvette/strips and Lancet for 772 MHT for each Hb meter = 15,44,000 (772*2000)                                                                                                                                             3) 500 Cuvette/strips and Lancet for 10258 HB meter at 10258 Sub center =51,29,000 (500*10258 )                                                                                                            4)  500 Cuvette/strips and Lancet for 2 HB meter at State level = 500                                                                                                            5) Total Cuvette/strips and Lancet required for MHT , Sub centers and State= 66,73,500  (1,54,4000+ 51,29,000 + 500 )                                                                                                                                                                                                     6)Total cost for 66,73,500 Cuvette/strips and Lancet @Rs 20 each Cuvette/strips and Lancet =  Rs  13,34,70,000                                                                                                                                                                   7) Total Cost for procurement of  11032 HB meter and 66,73,500 Cuvette/strips and Lancet is =Rs 18,86,30,000  ( 5,51,60,000+13,34,70,000)                                                                                                                               Drugs and supplies 
Continued Activity:  3,07,81,187 quantity of 50ml IFA syrup with auto-dispenser for 100 dose in year (with 5 % buffer) for 1,46,57,708 targeted 6 to 59 month children will cost Rs. 19,20,75,000
Continued Activity:  1,01,98,64,664 Pink IFA tablet for 52 dose in year (with 5 % buffer) for targeted 1,86,78,840  (5-9 years) children will cost Rs. 10,19,86,000
Total Cost under Drugs and supplies Rs. 29,40,61,000 (Rs. 19,20,75,000+ Rs. 10,19,86,000)                                                                     Capacity building incl. training:
Continued Activity:  A. Training on comprehensive AMB training tool kit (5 batches State Level Trainings+128 Batches district level training)
1. At State level participants will be Health (DIO+DCM+ RPM), ICDS (DPO), Education DPO (SSA)+DEO and Development Partners and at District level participants will be One BEEO+2 BRP, CDPO+LS, BCM + MOIC. 
2. Unit cost for one batch training is Rs. 47,500 for one day at state level, hence 47500*5= Rs.2,37,500                                                                                                                                                                             3. Unit cost for one batch training is Rs. 16,450 for per batch at district level training, hence 128* 16,450=21,05,600 .                                                                                                                                                                                                      4. Total cost for State and District level training is Rs. 23,43,000 (This amount will include  Job aid (Pen, Pad, Folder Etc.) Resource fee for the resource person, Lunch, Tea, Snacks to the participants, Audio-Video support (LCD Projector, screen,  mike etc), Venue charge, Banner and Incidental expenses)
Continued Activity:  B. Training on comprehensive AMB training tool kit (7,567 batches Block Level Trainings of FLWs)
Participants will be all AWWs, Two teach/Schools, all ANMs, all ASHA Facilitators, and all ASHAs.
Per batch training budget is Rs. 2,320 for 7515 batches= Rs. 1,74,34,058 
Total Cost under Capacity building incl. training Rs. 1,97,78,000  (Rs. 23,43,000 + Rs. 1,74,34,058)                                                                                     ASHA incentives
Continued Activity: Rs 50/month/ASHA *12 months (for 88019 selected ASHAs) Total  budget for National Iron Plus Incentive for mobilizing WRA (non pregnant &amp; non-lactating Women 20-49 years) will cost Rs. 5,28,11,000
Continued Activity: Rs 100/Month/ASHA *12 months ( for 88019 selected ASHAs)   Total  budget for National Iron Plus Incentive for mobilizing children and/or ensuring compliance and reporting (6-59 months) will cost Rs. 10,56,23,000
Total budget under ASHA incentives Rs. 15,84,34000 (Rs. 5,28,11,000 + Rs. 10,56,23,000)                                                                  New Activity under Other Operational Cost.
For financial year 2022-23 it is proposed to organize T3 Camps at 2 selected schools in each Block (one school at BRC Campus and one higher secondary school at block). The activity can be taken up in 5 Aspirational districts namely Gaya, Purnea, Sheikhpura, Banka and Sitamarhi and will be conducted during Poshan Maah (Month of September).Detailed Proposal Attached as Annexure.                                                                                                                                                                                                                                                                                                                                          @Rs 29,000 per site. Two camps will be held at 73 blocks (Banka= 11, Gaya=24, Purnia=14, Sheikhpura= 6 and Sitamarhi 18).                                                                                                                                                                    Total Rs 42,34,000 approx. is required for Camps.                                                                                                                                  Surveillance, Research, Review, Evaluation (SRRE)
Continued Activity:  Biannually review meetings on AMB programme with district officials in 2 batches per review meeting , hence total of 4  meetings at state level with expense of Rs 2,02,800 (4* 50,700)                                          
Biannually review meeting on AMB programme with the block officials at district level, total 124 Batches *11500 per batch=Rs 14,26,000                                                                                                                                                                                                               Total  budget for review meeting at state and district level will cost Rs 16,29,000      IEC &amp; Printing : Printing of AMB Card, formats, registers, IEC materials, various IEC/BCC activities etc. Rs. 441.80 Lakhs.  Details Attached..                                                                                                                                                                                       
                                                                                                                                                                                                                                     FY 2022-2023 Total Budget = Rs. 71,09,53,000                                                                                                                                               (Rs 18,86,37,000+ Rs. 29,40,61,000+ Rs. 1,97,78,000 + Rs. 15,84,34000 + Rs 42,34,000 +Rs 4,41,80,000 + Rs 16,29,000)                                                                                                                                                                                     For FY 2023-2024 Total budget is 74,65,00000 i.e 5% increased from total budget of FY 22-23.        </t>
  </si>
  <si>
    <t>Continued Activity: Budget is being proposed for 1. procuremnt of Albendazole tablets for NDD program
2. Incentive of ASHA 
3. Orienation of District and Block level officials.Printing &amp; IEC - Printing of various types NDD formats, cards, poster, flip book etc. and various IEC actitivies such as Advt., Radio and video spot, wall writing etc. for both round. Details Attached.</t>
  </si>
  <si>
    <t>Continued Activity: Budget is being proposed for 
a) 38 NRCs(20 beded)@20.33 lakh per NRC per annum (based on 70% bed occupancy rate) 
b) 5 NRCs(10 beded) @10.76 lakh per NRC
c) Procurment of equipment viz AC, Infantometer, Stadiometer, Weighing Scale etc.
d) Training of Medical Officer, Feeding Demonstrator, Staff Nurse, CBCE under NRC
e) Incentive of AfSHA for reffral and follow  up of SAM children
f) Minor repair and renovation of  NRCs.Printing of various types NRC materials and IEC Rs. 10.10 Lakhs. Details Attached.</t>
  </si>
  <si>
    <t xml:space="preserve">Budget is being proposed for
a) 4 days  Training on 4-in-1 course of IYCF for newly recruited RMNCH+A Counselors @24300. In Fy 2022 -23 ten batches are being proposed = 10*24300 = 24.30 lakh and in FY 2023-24 6 batches are proposed = 6*24300 = 14.58 lakh
b) 4 days  Training on  IYCF/MAA for Staff Nurse who are posted at Delivery points@177600 per batch. In Fy 2022 -23, Twenty three batches are being proposed = 23*177600 = 40.85 lakh and in FY 2023-24, Twenty one batches are proposed = 21*177600 = 37.30 lakh
c) 7 days MLT Training on IYCF@528900 per batch.  In FY 22-23 two batches are being proposed = 528900*2 batch = 10.58 lakh .Printing of various formats, materials, IEC activities, Rs. 89.24 Lakhs.Details Attached
</t>
  </si>
  <si>
    <t>IEC and Printing of various materials, Rs. 29.32 lakhs. Details Attached.</t>
  </si>
  <si>
    <t>Budget is being proposed for
1. Procurement of ORS and Zinc tablet
2. Orientation of District and block level officials
3. Incentive of ASHA .Printing of Various types formats, IEC materials and other IEC publiciity, Rs. 100.66 lakhs. Details Attached.</t>
  </si>
  <si>
    <t>IEC &amp; Printing - Other Nutrition Components IEC/BCC Activities/Materials.</t>
  </si>
  <si>
    <t>IEC &amp; Printing - Rs. 17.62 lakhs for Eat Right Campaign Various Activities/Materials.</t>
  </si>
  <si>
    <t>Continued Activitied-Annexure AttachedIEC/BCC Activities - Rs. 30 Lakhs
Printing of various types formats - Rs. 4 Lakhs 
Total for Printing and IEC Activities - Rs. 34 Lakhs.</t>
  </si>
  <si>
    <t>Continued ctivities-Included commited 2021-22(DBT-3.25 lakh, Equipment-1.79 lakh, Lakh,,OCC-800 lakh,   IEC-24.00Lakh ,     M&amp;E-37.18Lakh, Certification award Annex attached Printing &amp; IEC - Rs. 121.83 Lakhs for various IEC activities and printing of various types formats, IEC materials etc.</t>
  </si>
  <si>
    <t>Continued Activities + one new activity of Establishment of ICU(5.3.13). In FY 2023-24, Rs. 400 Lakh of PMR and 75 Lakh of Fogging Machine (total 475 Lakh) are not demanded.Printing &amp; IEC - Rs. 35 lakhs for various IEC/BCC Activities and printing of IEC Materials and Rs. 6.69 lakhs for upaid bills.</t>
  </si>
  <si>
    <t xml:space="preserve">Continued ActivitiesAnnexure Attached. In FY 2023-24, 11.40 Lakh of Equipment is not demanded.Printing &amp; IEC - Printing of various IEC materials and various IEC/BCC activities and Rs. 7.51 lakhs for balance payment of previous years. </t>
  </si>
  <si>
    <t>1.1.5.4 - Special plan for High Prevalence Block &amp; Villages. (ACD &amp; RS),       3.1.1.4.8.1- 250/ case (for early detection)                                                                              200/ late detection (visible disability) (Total Rs.250X17000 cases), 3.1.1.4.8.2 - 400/case (Total Rs.400X10200 cases), 3.1.1.4.8.3 - 600/case (Total Rs.600X6800 cases), 6.2.13.1 - Supportive drugs, lab. Reagents at district level, 6.2.13.2 - Rifampicin Capsuls at district level (Rs. 5 X340000), U.1.1.1.3 - Survices in urban Areas:-                 Townshi- 24 districts                    Medium City- 6 districts              Per Township Rs.130000 and per Medium city Rs.240000                       (Suppotive Drugs, Review And Sensitisation Meetings, IPC Workshop,Vehicle For Supervision Etc in Each District.Printing and IEC Activities - Rs. 44.84 Lakhs for various IEC activities and printing of formats. Mass media, Outdoor media, Rural media, Advocacy meeting ETC. Annexure attached.</t>
  </si>
  <si>
    <t xml:space="preserve">IEC and Printing: 1.Newspaper advrtisement, Jingle, video spot, meeting with PRIs, engaging MP/MLA, Religious leaders, school based activities etc. World TB Day Celebration at State and district level. 2. IEC printing for community engagement, ACF, private sector engagement, world TB day celebration at state and district level. Annexure attached.
Innovation: Enagaging TB survivors for TB treatment adherence and stigma reduction.
</t>
  </si>
  <si>
    <t>*Orientation/Refresher training  for the Ophthalmic Assistant. (Amount for the activity - 10 Participants @40000= Rs.400000)
*Continuous Activity:-
3 Activities per district @ 15000/- for 38 districts. As well as for 10 Medical colleges and One Super Speciality Eye Hospital(Rajendranagar super specility Eye Hospital). Amount for the activity - 147 activities@15000= Rs.2200500) Printing &amp; IEC : 3 Activities per district @ 15000/- for 38 districts. As well as for 10 Medical colleges and One Super Speciality Eye Hospital(Rajendranagar super Eye Hospital)</t>
  </si>
  <si>
    <t xml:space="preserve">Continued activity  
  Training    
 1) Rupees 1 lakh per district for 38 districts = 38 lacks. for traoning of MO's, CHO and nurses of DH/ SDH/ RH/ CHC/ PHC/ APHC HWC by trained psychiatrist/ medical officer at district level. (fund may be used for state level/ national level training in a special provision) 
 Planning and M &amp; E
2)  Rupees 25,000=00 (twentyfive thousand) per district for 38 districts = 9 lacks 50 thousand  for targeted intervention at community level Activities and interventions targeted at schools, colleges, workplace, out of school adolescents, urban slums and sucide prevention.
 Sensitization program in mental health at PHC/CHC/RH, community, pancyat level,  slum areas schools and colleges will be done by dmhp teams. Participants will be ASHA, GNM, ANM College/ school teachers etc. 
  Equipments
 3) Rupees 1 lakh per district for 7 districts = 7 lacks. (new approval in FY 2021-22) to procure psychotherapy tools and basic medical equipments for clinical psychologist &amp; psychiatrists respectively. HR positions for the  new approved districts are still vacant but they a   re likely to be filled in FY 2022-2023.  
   Medicine             
4 )Rupees 2 lakhs per districts for 38 districts = 76 lacks. to purchase psychotropic medicines at district level as per requirement ( in accordance with NMHP drug list.    
   IEC and Printing  5)Rupees 50,000=00 (fifty  thousand) per district for 38 districts = 19 lacks. for IEC printing on     world mental health day,     sucide prevention day,     world disability day.  Others including operational cost ( OOC )   
6) Rupees 50 thousand per district for 38 districts. = 19 lacks. One day orientation training in mental health by psychiatrist / trained medical officer and psychologist for college / school teachers in each district ( maximum capacity 30 per batch ) so that they can provide councelling to the students. In vie of shortage, psychiatrist may be hired from private sector on day basis as per GOI guidelines.                                                                                                                                                                                                                                                                                                                                                                                                                                                                                                                                                                                                                    7) Rupees 9 lakh 50 thousand for hiring vehicle for district visit &amp;  for doctor travel expense for psychiatry opd from one district to another.                           
8 )  Rupees 25,000=00 for 38 districts = 9 lacks 50 thousand .Contingency under NMHP                  </t>
  </si>
  <si>
    <t xml:space="preserve">1.Continued Activity.
Celebration of days-ie International Day for older persons
Total Budget Required (38+1*30000)=11.70 Lakhs
    Printing of Module on Elderly care for MO, Staff Nurse and ASHA etc  ,@50 Module per district       Total Budget Required= 38*50*3*500=28.50 lakh         </t>
  </si>
  <si>
    <t xml:space="preserve"> Continued activity 
Others including operational cost (OOC)     
1) To implement ToFEI guidelines in 70 schools per districts, for 10 districts @10000 per school. = 70 lacks   
2) Sensitization campaign for college students. 3 colleges/other educational institution per districtfor 10 districts @ 10000 per college/ other educational institution. = 3 lacks 
Capacity building including training 
 Training of PRI's representative , Police personnel , teachers , transport personnel, NGO personnel and other stakeholders. 30 thousand * 38 districts = 11 lacks 40 thousand 
IEC and Printing             For activities to be done by the districts on the occasion of word no tobacco day and for creating awareness in the community about the ill effects of tobacco use and benefits of quitting the habit.=19 lacks  and Rs. 1.55 lakhs for balance payment of previous year pending amount.                                                                                                                         </t>
  </si>
  <si>
    <t xml:space="preserve">1 Equipment
 .Continued activity                                                                                                                                  
 Purchased of  Cancer care  Equipment (Spatula,Mouth mirror Torch, Cusco's Speculam, Acetic acid etc. for screening                                                                                                                                                     Budget for F.Y 2022-2023 and 2023-2024 NCD Clinic Dist+CHC/PHC, SDH, RH (38 +533+45+67)=683@100000 per Center Required Amount 683*100000=683 Lakhs.
 2 Diagnostics
Budget required  F.Y 2022-23 and 2023-24  (A+B) 402.48 lakhs
(A).Continued Activity : 
Purchase of NCD related Consumable/ Reagents Gulcostrip,lancet,swabs for CHC /PHC NCD Clinic and health camp  Rs.12000/- 1379  PHCs and  APHC functional   amount Required( F.Y 2022-2023 and 2023-2024) 1379*12000=165.48 Lakhs
(B) New Activity :
 Purchase of NCD related  Consumable/ Reagents Gulcostrip,lancet,swabs for SC/HWC NCD Clinic and health camp  Rs.  SC and  HWC functional   amount Required 
Planed HWC 1975*12000=237 lakh
3.Capacity Building Inc.Training
 Continued Activities :  ( Detail  in Annex) 
Budget required in F.Y 2022-23 and 2023-24 (A+B+C) 1575.63 lakhs   
A state  level  20lakhs
B District level  493.63
C 5day residential trainig Asha and ANM  1062 lakhs 
4. .Asha incentives. 
Budget Required in F.Y 2022-23 and 2023-24 (A+B+C)=1979.50 lakhs
  Continued Activity    
(A )ASHA incentive @ Rs 10 per CBAC form = 9426212*10 (CBAC Forms + F.F.) 942.63 lakhs (B) Follow up  incentive = 565572*2*50=565.57 lakhs                                                                                                                                              (C) Digitization and Complete Screening of CBAC &amp; Family Folder  forms by ANM/data entry operators @ Rs 5 per Complete Screening = 9426212*5= 471.31 lakhs.
5. OOC
.Continued activity:
Total budget  Required in F.Y 2022-23 and 2023-24 (A+B)=611.60 lakhs 
( A) Under NPCDCS programme for the FY 2022-23 proposed in existing 1912 (533 PHC+ 1379 APHC )  Rs 2500 per month per facility) Mobility , Miscellaneous &amp; Contingencies per clinic Budget Required for 1912 PHC/APHC @ Total Rs. 573.60 Lakhs (2500*12*1912 ).
(B)   DIstrict  NCD Cell Renovation and Puchased of Laptop,Almirah, Self Drawer etc
 1 lakh per district* 38 districts =38 lakhs
6.. IEC and Printing ( Detail Annexture)
Total budget  Required in F.Y 2022-23 and 2023-24 (A+B)=810.89 lakhs 
(A) Continued activity  IEC 
State Level :30 Lakhs
Dist Level IEC  114 lakhs
PBS level  117.40 lakhs
Total= 261.40lakhs
(B) Printing  549.49 (detail Annexture)
 Amount Required Rs. 3000000/- for Awareness Generation world diabetic day, cancer day, heart day, Bihar Day and other health days,  nukkar natak, rally, walkathon rally, radio jingle,  newspaper advt., Hoarding, flex banner, wall painting, miking, Prize distribution, poster, leaflet, banner etc. 
(All the state level activities to be organised at New Gardner Superspeciality Hospital)
(All the state level activities to be organised at New Gardner Superspeciality Hospital)
Continued activity:
  Amount Required Rs. 300000/- Per District for Observation of world diabetic day, cancer day, heart day, Bihar Diwas, and other health days celebration camp organization, nukkar natak, rally, walkathon rally, radio jingle,  newspaper advt., flex banner, wall painting, miking , Prize Distribution, poster, leaflet, banner etc.. Pamplet , banner, standy , miking for hypertension, disbetes snd cancer awereness , appreciation of best performing nurses , ashas, CHO, Signages inside and out side the hospital . Total Budget =38*3.0=114 Lakh
Continue Activity : 
Awareness Camps, Banner/Hoarding/Tin Plates, Wall Painting, Miking, Rally etc.Pamplet , banner, standy , miking for hypertension, disbetes snd cancer awereness , appreciation of best performing Nurses ,ASHAs, CHO Signages inside and out side the hospital (Total Budget =2348*5000=117.40 Lakhs)
As per GoI Guideline Rs. 2500/- for per CHC/PHC required for patient referral cards (For 533 CHCs+ 45 SDH)
Continue Activities  Printing of  CBAC and Family Folder for All person Screened 9426212*3 per card
 Continued Activities :
2348 (Functional)+1975 (New) = 4323 PBS Centres- @6000 Printing of Various types of reporting formats for facilities, NCD Screening Register  guideline, Training Modules for ANM/GNM, ASHA, Medical Officers, Staff Nurse,  , Various IEC materials such as Banner, Hoarding, Tin Plate, Pamphlets, poster etc. For cancer screening Flex, standee, Pamplets, posters, Referral slip , prescription pad, Vitals record,  Registers for screening , confirmed cases , suspected cases, follow up cases.  Total Budget =4323*.06=259.38      
Continued Activities 
Based on expected prevalence  and number of health facility we require 700 HTN Rgisters .Treatment protocol : Hypertension -16166, Diabeteies protocol- 16166 .             BP checklist : 16166,   Module MO- 583, Nurse -3242, Pharmasist -339 Tratment card  : 126805 ,Patient ID Card :  126805 for HTN in the program of 5 IHCI districts  @Rs 800000 per district    
7.. Planning and M&amp; E. 
 Continued Activities 
Total budget  required  in F.Y 2022-23 and 2023-24 (A+B) 238 lakhs
State level =2 lakhs
Disrict  level (  Supervision monitoring   TA/DA POL and Contigency 236 l;akhs 
                                                                                                      </t>
  </si>
  <si>
    <t>For financial year 2022 - 2023 Equipment for SDH/CHC/PHC
 1) Utilization certificate of 11 Dental Chairs i.e. SDH Begusarai, SDH East Champaran, SDH Munger, Barahiya( Lakhisarai) , Krityanand nagar (Purnea), Mokama (Patna), Nautan (Siwan), Katrisarai (Nalanda), Goh (Aurangabad) and Pakridayal ( East Champaran) is awaited. cost of 11 dental chair will be rupees 3,50,000 ( three lakh fifty thousand) cost of one dental Chair * 11 ( eleven) Total number of chairs = Rupees 38,50,000=00 ( thirtyeight lakh fifty thousand )  2) Surgical and diagnostic instruments has been provided to the health facility in the FY 2021-2022. Proposal for a sum of rupees 10,000( ten thousand) per health facility for 450 facility = 45,00,000=00 (fourty five lacks ) is being made to meet the gap ( after demand from the districts) regarding instruments. Diagnostics ( Consumables )                                                                                                                                                           Proposal for a sum of rupees 30,000=00 ( thirty thousand ) per health facility for 450 facility = 1,35,00,000=00 ( one crore tirtyfive lacks) is being made as consumables are used on daily basis.IEC and Printing
Rupees 18 lakh for IEC activities to be cinducted at state and district level on world oral health day and other oral health awareness generation program..
For Financial Year 2023 - 2024 
 Diagnostics ( Consumables ) 
  Proposal for a sum of rupees 30,000=00 ( thirty thousand ) per health facility for 527 facility = 1,58,10,000=00 ( one crore Fifty eight lacks ten thousand lacks) is being made as consumables are used on daily basis.IEC and Printing
Rupees 33.81 lakh for IEC activities to be cinducted at state and district level on world oral health day and other oral health awareness generation program..</t>
  </si>
  <si>
    <t xml:space="preserve">1.Continued Activities :  
Sensitization Training of Pediatricians and Obstetricians 12 batch @50000 Each District
Total Budget 50000*12)=6 Lakhs
Continued Activities :  
1 lakh per district for training on MO from SDH and block PHC/CHC Total Budget =.1*12=12 Lakh
. Continued Activities :  
1 lakh per district for training on MO from APHC/PHC, HWC and RBSK team Total Budget =1*12=12 Lakh
Continued Activities :  
ToT at maulana Azad medical college, Delhi/ identified regional training centers.50 Lakh
2..Continued Activities 
</t>
  </si>
  <si>
    <t xml:space="preserve">Continuation of previous activity for 12  Districts namely Vaishali, Muzaffarpur, Rohtas, Kaimur, East Champaran, West Champaran, Banka, Jamui, Gopalganj, Buxar  Purnea  &amp; Gaya.  List of  Equipments for Each District under  NPPCD1.Microscope
2. 2 set of Microdrills with 2 handpices and burrtheads .
3. 2set of Micro-Ear surgery instruments
4. Pure tone Audiometer.
5. Impedance Audiometer.
6. OEA Machine 
7. Sound  treated room
Total Budget Required (20,00,000X 12,)=240 Lakhs
2 lakh at state and Rs .25lakh for each district to celebreate Ear care Day and  awareness generation
Total Budget(25000*38+200000)=1150000
</t>
  </si>
  <si>
    <t>For FY 2022-23
A) CUG mobile monthly bill payment:
 1100 connections *600*12=Rs 7920000/
B)  For R.I. mobile monthly CUG bill payment for CCT for updation process of NCCMIS web portal.
40 connections*300*12=Rs 144000/-
2. Continued Activity
1. Capacity Building - 
a) Rs. 265.44 lakhs for 158 batches Induction Training @ Rs. 168000/- per batch, 
b) Rs. 1550.92 lakhs (1301.58 lakhs for 1033 batches Module VI &amp; VII training @ Rs. 126000/- per batch + Rs. 53.60 lakhs for Supportive Supervision Cost + Rs. 195.74 lakhs for ToT to Create an additional pool of ASHA Trainers 
c) Rs. 65.52 lakhs for 156 batches ASHA Facilitators training @ Rs. 42000 per batch 
2. ASHA Incentive - Rs. 21600 lakhs for 90000 ASHA @Rs. 2000 per month for 12 months
3. Other Operating Cost (OOC) 
a) Rs. 1088.88 lakhs for Uniform (2 Sari) @Rs. 500 per Sari and 6 Cotton Mask @Rs. 25 per Cotton Mask for 90000 ASHA &amp; 4685 ASHA Facilitators
b) Rs. 3.5 lakhs for ID Card for 7000 newly selected ASHA @Rs. 50 per ID Card
c) Rs. 18.69 lakhs for Award to ASHA @Rs. 3500 per Block for 534 blocks and Rs. 2.25 lakhs for State Level Award for ASHA/ASHA Facilitator
d) Rs. 1704.33 lakhs as Communication Allowance for 90000 ASHA &amp; 4685 ASHA Facilitators @Rs. 150 per month for 12 months,  Rs. 21.48 lakhs for Officials of ASHA Programme and Rs. 8525.92 lakhs for Smart phones for 60000 ASHA &amp; 4685 ASHA Facilitators at approved rate @ Rs. 13180.68 per Smart phone. Smart phone has already been approved for ASHAs of 13 Aspirational Districts 
e) Rs. 3373.20 lakhs for Supervision Cost by 4685 ASHA Facilitators @Rs. 6000 per month for 12 months 
f) Rs. 2.80 Lakhs for 04 Laptops for newly selected 04 Divisional ASHA Coordinators.
4) Planning &amp; M&amp;E
a) Rs. 0.36 lakhs for 06 DAC review meeting at State in a year @Rs. 6000 per meeting
b) Rs. 5.4 lakhs for 03 ASHA Programme meeting at State  @Rs. 180000 per meeting
c) Rs. 8.96 lakhs for 01 BCM meeting at Division
d) Rs. 197.40 lakhs for Mobility Cost of ARC Team (State, Division, District and Blocks)
For FY 2023-24
A) CUG mobile monthly bill payment:
1100 connections *600*12=Rs 7920000/
B)  For R.I. mobile monthly CUG bill payment for CCT for updation process of NCCMIS web portal.
40 connections*300*12=Rs 144000/-
2. Continued Activity 1. Capacity Building - 
a) Rs. 1313.60 lakhs (1260 lakhs for 1000 batches Module VI &amp; VII training @ Rs. 126000/- per batch + Rs. 53.60 lakhs for Supportive Supervision Cost 
b) Rs. 65.52 lakhs for 156 batches ASHA Facilitators training @ Rs. 42000 per batch 
2. ASHA Incentive - Rs. 22484.88 lakhs for 93687 ASHA @Rs. 2000 per month for 12 months
3. Other Operating Cost (OOC) 
a) Rs. 1131.28 lakhs for Uniform (2 Sari) @Rs. 500 per Sari and 6 Cotton Mask @Rs. 25 per Cotton Mask for 93687 ASHA &amp; 4685 ASHA Facilitators
b) Rs. 3.5 lakhs for ID Card for 7000 newly selected ASHA @Rs. 50 per ID Card
c) Rs. 18.69 lakhs for Award to ASHA @Rs. 3500 per Block for 534 blocks and Rs. 2.25 lakhs for State Level Award for ASHA/ASHA Facilitator
d) Rs. 1770.70 lakhs as Communication Allowance for 93687 ASHA &amp; 4685 ASHA Facilitators @Rs. 150 per month for 12 months,  Rs. 21.48 lakhs for Officials of ASHA Programme.  
e) Rs. 3373.20 lakhs for Supervision Cost by 4685 ASHA Facilitators @Rs. 6000 per month for 12 months 
4) Planning &amp; M&amp;E
a) Rs. 0.36 lakhs for 06 DAC review meeting at State in a year @Rs. 6000 per meeting
b) Rs. 5.4 lakhs for 03 ASHA Programme meeting at State  @Rs. 180000 per meeting
c) Rs. 8.96 lakhs for 01 BCM meeting at Division
d) Rs. 217.14 lakhs for Mobility Cost of ARC Team (State, Division, District and Blocks).
Printing : Rs. 36.18 lakhs for ASHA Diary under NUHM, Training Modules, Certificate etc.Annexure attached.</t>
  </si>
  <si>
    <t>A. Reconstitution of VHSNC for 4 districts pilotTotal No. of Ward X 500/- i.e.10853 X 500 = 54,26,500/-
B. Orientation to 2 members including newly elected representatives of 34 districts.No. of Panchayat X 2 members X 200/- i.e. 7613 X2X200 = 30,45,200/-Total ; A + B = 5426500+3045200 = 84,71,700/-Printing of various types formats, IEC Materials and various IEC/BCC activities upto vhsnc level of various health programs as required and during outbreaks, emegency situation etc.</t>
  </si>
  <si>
    <t>IEC and Printing-Rs. 15 lakhs for ALSA IEC Activities such as Advt., outdoor publicity, Audio/visual etc.</t>
  </si>
  <si>
    <t xml:space="preserve">Continued activity :-   a. For QA Training,miscellaneous activity under QA and Kayakalp Training               b.EQAS,Specific interventions for patient safety,QA assessment &amp; mentoring, QA certifications &amp; Re-certifications,incentivisation on attainment of certification         c. operational cost of state QA unit &amp; DQAU 
2. a.Fund is required for Bio-Medical waste Management Training for trainers at state level. 100 participants from districts  @ 2400 per participants.2.4 lakh in FY 2022-23 and rs 2.52 lakh in FY 2023-24. IEC &amp; Printing - Rs. 23.37 lakhs for Wall Writing, Hoarding, various types poster etc.
b.  Fund is required for  Biomedical waste management training to GNM/ANM, Laboratory technician, waste handlers and other  staff @ District Level to ensure proper segregation, Collection, Disposal of BMW and other statutory Complieances.  The amount of 19 lakh is required for FY 2022-23 and 20.9 is required for FY 2023-24.
 Total fund  required is 21.4  lakh  in FY 2022-23(a+b), and 23.42lakh (a+b)  is required in 2023-24.     </t>
  </si>
  <si>
    <t>Free Pathological Services:- 
1. A lumpsum budget of Rs. 8760 lakhs proposed for pathological services in PPP mode for DH, SDH, RHs, CHCs (inclusive of sample transportation, testing and reporting at RHs/CHCs) for a duration of 12 months. Tender for providing pathological services in DH, SDH and RH under PPP mode is under process and service is expected to be rolled out in March, 2022. (Rs.350 estimated cost per patient for an approximately 25 lakhs patients (as per OPD &amp; IPD load during FY 2020-21) for a duration of 12 months. 
In addition to continued activity Rs. 10.00 lakh proposed for IEC activities.
2. Continued Activity: A lumpsum budget of 726.0 lakhs proposed for procurement of  EDTA vials, consumables, reagents and controls for lab equipments (for inhouse labs operational at government healthcare facilities including 3-Part Blood Cell Counter Machines and Semi-Auto Analyzer machines).
Note: Pathology services will be later limited to PHCs/APHCs on commencement of PPP project. Budget is being requested as follows: a lumpsum amount of Rs. 10,000/- per facility per month X 605 healthcare facilities for 12 months
Free Radiological Services:- 
1. 1. Continued Activity: A lumpsum budget of Rs.4429.80 lakhs proposed for continuing digital x-ray services under PPP mode (services are being provided at 146 healthcare facilities (DH/SDH/RH/CHCs).
Budget calculation: (Based on invoices generated by the agencies). Also, Budget is proposed inclusive of an annual increment of 5.0%.
(a) DH- (Rs. 4,72,500 per facility per month X 36 Facilities)
(b) SDH- (Rs. 2,10,000 per facility per month X45 Facilities)
(c) RH/CHCs- (Rs. 1,57,000 per facility per month X 65 Facilities)
Note: Amount proposed in FY 2021-22 was based on assumption of OPD cases, however, the budget proposed in FY 2022-23/ 23-24 is based on invoices submitted by the bidder.
In addition to continued activity Rs. 20.00 lakh proposed for IEC activities (hoardings/ newspaper adds, etc.) + Rs. 10 lakhs proposed for regularly monitoring and evaluation of the services via field visits (inclusive of vehicles) in various districts
2. Continued Activity: A lumpsum budget of Rs.1047.915 lakhs proposed for procurement of consumables for inhouse X-ray services (300 mA  Xray machines at 174 CHCs/PHCs)
Assumption: 15 nos. of X-rays per centre per day X 365 days X Rs. 110 per X-ray film X 174 facilities. Also, considering a 10% increase in the previous rate of Rs.100.
3. Continued Activity: A lumpsum budget of Rs.101.97 lakhs proposed for procurement of consumables for operating 103 USG machines
Assumption: Rs. 8,250 per centre per month X 103 USG machines/ facilities. Also, considering a 10% increase in the previous rate of Rs.7,500 per centre per month.
4. Continued Activity: A lumpsum budget of Rs.683.43 lakhs proposed for payement of xray services in interim arrangement.
Background: Before rollout of X-ray services in PPP mode and In-house mode, xray services were provided by District Health Society based on alternate arrangement (interim arrangement). Simultaneoulsy, on further rollout of Xray services in PPP mode and In-house mode, interim arrangement were replaced. However, as on date, 76 facilities across state are still continuing their services through alternate arrangement. Therfore, budget for xray services provided in interim arrangement is hereby proposed as below till rollout of new activity under inhouse mode for approximately 3 months.:
(a) 76 facilities X 15 xray per day X 180 days X Rs. 110 per xray film
(b) Arrear payement for services rendered during FY 2021-22 for above mentioned 76 facilities for 12 months
5. New activity:
Background: Bihar is administratively divided into 38 districts incusive of 534 blocks. GoB aimed to operationalize atleast one X-ray in each block. As on date, 320 facilities have been selected for installation and operationalisation of X-ray machines under PPP or in-house mode. Leftover, (534-320=214 facilities).
In order to provide X-ray services in all 534 blocks, state may decide to procure x-ray services under PPP mode at leftover 214 healthcare facilities (CHCs/PHCs). 
Calculation: 
Approx 15.0% of OPD-IPD load at 214 CHCs/PHCs in FY 2020-21: 10 Lakhs. Rate @Rs.200 per patient for 9 months= 1500 Lakhs
6. New activity:
New activity:
A lumpsum amount of Rs. 87 lakhs proposed for AERB Compliance for 174 in-house X-ray centres @Rs. 50,000 per facility (for upgradation of infrastructure as per AERB guidelines/ TLD badges/etc.
7. Continued Activity: Rs. 180.81 lakh aaproved for procurement of 25 ultrasound machines in FY 2020-21. Currently, 14 machines have been procured and are under installation. 11 more machines have to be procured. The approved amount has been kept in committed in FY 2021-22. However, the budget has not been transferred to BMSICL yet. It is unlikely that the amount will be spent in this FY as installation process is getting delayed. Rs. 180.81 lakhs is being requested to be approved in FY 2022-23, so that payment shall be made against the procurement of 25 USG machines  (Note: previously approved amount for FY 20-21 and FY 21-22 (committed) has not been utilized and is surrendered)
Printing and IEC - Rs. 50 lakhs for Various State specific IEC/BCC Activities/programs for awareness among people and Rs. 30 lakhs for Various IEC/BCC Activities/Abhiyans/Outdoor Publicity for awareness among people for free diagnostics upto PHCs/subcentre level.</t>
  </si>
  <si>
    <t>Currently, we are in the process of e-tendering for BMMP in PPP mode through our procurement agengy BMSICL. The mapping of bio-medical equipment was done in 2015-16 by the agency M/s HLL in which the agency had mapped 19475 equipments costing about Rs. 94 crores. As per estimation, the cost of CMC @ 7% shall be approximately 6.58 crore per annum for all the facilities (District Hospitals and below). Printing and IEC - Rs. 56.62 lakhs for Wall Writing, Sinage/Tin plate, Guideline and Log Book of Bio-Medical Waste Management. Annexure attached.</t>
  </si>
  <si>
    <t xml:space="preserve">
1 Equipment  .Continued activity  - For procurement of Lab equipment   Total Budget- 2.50 for PMCH
2.Consumable Continued Activity : Purchase of salt testing kits for Asha and Asha facilatotor 14 Endemic  districts. 3 salt test kits per Asha  for 42494 ASHA @25 per salt testing kit      fund reqired  42494*3*25=31.87 Lakhs  3 Asha Incentives.  Continued Activity:        Asha incentive for Salt testing  at Comunity level for the  Quality of Iodated salt    42494 ASHA in 14 Epidemic District @ .50 Rs per test  at least 50 Sample  per month        Amount Required 42494 *50*.50*3  month =31.87 Lakhs  4.OOC :Continued Activity: Management of IDD Monitoring Lab Total Cost =1 Lakh 5.IEC Printing Continued activity:
 Amount Required Rs. 30000/- per District  for Awareness Generation IDD day,  rally, radio jingle,  newspaper advt., Hoarding, flex banner, poster, leaflet, etc. 
(All the state level activities to be organised at SHSB and PMCH Patna  Rs 250000) Total Budget Required (30000*38=1140000+250000)=1390000
6.SREE. .Continuied Actvities     IDD servey in 8 selected districts @ Rs 50 lakh/District through PMCH, Patna /other Medical College Hospitals.</t>
  </si>
  <si>
    <t>Continued Activity
GoI has approved Rs.106.50 lakhs in the Supplementary ROP of FY 2021-22 under FMR code 18.2.5 for pilot project on Awareness Creation and Distribution of Menstrual Cups (M-Cups) for women in two districts (East Champaran and Madhubani) Bihar. State requires approval to utilize the approved amount of Rs. 106.50 lakhs during the FY 2022-23</t>
  </si>
  <si>
    <t xml:space="preserve">Continued Activity
State is implementing SHP in 14 districts of Bihar. Out of 14 ,  5 districts started the implementation in FY2020-21 and 9 districts in 2021-22. 
In the FY 2020-21, GoI has approved total amount of Rs. 350.00 Lakhs, Rs.70.00 Lakhs in main ROP and Rs.280.00 Lakhs in Supplementary ROP in the FMR code 9.5.4.13 which State Health Society, Bihar has transferred to SCERT, Patna.
In the FY 2022-23, GoI approved 1027.32 Lakhs under the following FMR code:-
FMR Code	Amount in Lakhs
9.5.4.13.1	95.46
9.5.4.13.2	417.86
9.5.4.13.3	126.00
11.7.3	10.32
12.4.5	378.00
Total	1027.64
State has completed State level training of DRG and transferred Rs. 722.75 lakhs to SCERT, Patna.
State need permission to utilize the approved amount (350+1027.64 = 1377.64) in the FY 2022-23
</t>
  </si>
  <si>
    <t xml:space="preserve">
1.  Equipment:
Continued Activity:  • The amount is required for the operations of 58 Effluent Treatment Plant in 58(13 DH and 45 SDH) Health Care Facilities for one year as per detailed project report submitted by BMSICL. 
•  9 ETP with capacity of 15 KLD @2,18,612.42*9=19,67,511.
•  49 ETP with capacity of 5 KLD @ 2,06,612*49= 1,01,24,008. 
• Hence total 120.92 lakh is required for the FY 2022-23 and Rs. 131.90 lakh  is required for FY 2023-24. 
2.Infra Continued Activity:-
(A) For upgraation of 9 Model Hospitals; approval for Rs. 173.27 Crores has been accoreded by NHM and an Amount of Rs. 90.31 Crore has already been released as of now. 
The Rest amount of Rs 82.96 Crore needs to be released to complete the construction.
(B) For upgraation of 12 Model Hospitals; approval for Rs. 406.822 Crores has been accoreded by NHM and an Amount of Rs. 92.64 Crore has already been released as of now. 
The Rest amount of Rs 314.182 Crore needs to be released to complete the construction.
(C)  For upgraation of District Hospital Saran into  Model Hospital; approval for Rs. 40.00 Crores has been accoreded by NHM and an Amount of Rs. 4.00 Crore has already been released as of now. 
The Rest amount of Rs 36.00 Crore needs to be released to complete the construction.
*Hence a Total Amount of Rs. 82.96 + 314.182 + 36 = 433.142 is required to complete the construction.
New Activity:-
The State Proposes upgradation of 5 District Hospitals Namely- Jamui, Kishanganj, Supoul, Katihar and Khagaria into Model Hospitals on the basis of Demographic Population, Gap Analysis, Tribale Population and recognization of Aspirational Districts.
In principle the approval for estimated project cost @ Rs. 40.00 Crore per unit  is solicited subject to variance as per detailed project report and technically approved estimate is solicited.
Total Project cost= 5x40 Crore= 200.00 Crore.
* An amount of Rs. 100.00 Crore @ 50% of total Project cost is needed for FY-2023-24.
New Activity_ 200 beds DIstrict Hospital in nawada is being proposed. The estimated cost will be Rs. 111/Crore. An amount of Rs. 22/ Crore is being proposed for F.Y 22-23 and Rs. 50 Crore in F.Y 23-24. 
</t>
  </si>
  <si>
    <t>1-RBSK at Facility level including DEIC-Infra Old, Continued  Activity-
Balance payment for construction work of 5 DEICs to BMSICL is Rs.30,45,075.  As per the contract this amount will be transferred to BMSICL once the construction work is completed. In the FY 2021-22, Rs.30,45,075 was approved for the same. Since the construction work is in progress State would like to retain the amount in the FY 2022-23. To make the DEIC child friendly interior decoration is important. So State would like to budget Rs.2 lakhs per DEIC for painting, furniture and fixtures for 4 newly constructed DEICs, Rs. 8,00,000/- Total Amount- Rs. 30,45,075 + 8,00,000= Rs. 38,45,075/-
* Construction of New DEIC is not approved in the NPCC meeting, rather GoI suggested to shift one DEIC (darbhanga) from the already approved  9 DEIC to AIIMS Patna for which the construction work has not yet started by BMSICL.2- RBSK at Facility level including DEIC-Equipment's, Continued  Activity-
At present GoI has approved 9 DEICs. In the FY 2021-22, new recruitments has happened for DEICs in the state. They require equipment’s and consumables for effective functioning. For procurement of  equipment’s and consumables state is in the process to finalize the list as per the requirement  and demand. State is proposed budget  Rs. 2,46,31,086/-3- RBSK at Facility level including DEIC-Capacity Building, Continued Activity-
As per GOI guidelines DEIC Staff should undergo 15 days training at identified center. State need support from GoI to conduct training in Bihar for DEIC staff. To organize the training Rs. 35,51,500/- is being proposed (Details annexed).  
4- RBSK at Facility level including DEIC-OOC, Continued Activity, Amount Proposed for Surgical Intervention at Tertiary Care, Detail Annexed Total Amount- 376.05 Lakhs Detail Annexed5- RBSK at Facility level including DEIC-OOC, Continued Activity,Activities under RBSK for strengthening Tertiary Care Services: -
1. Record keeping of referred children and day to day requirement of stationaries (non recurring) :- @ Rs.5000/- per month per institution for 9 institutions for 12 months = 5000*12*9 = Rs.5,40,000/-2. For organizing inter departmental meetings in 9 Tertiary Care units @ Rs.2000/-  X  3 Meetings X 9 Institutions = Rs.54000/-
3. Organizing Camps at Tertiary Care units @ Rs.25000/-  X  3 camps  X 9 Institutions = Rs.6,75000/-Total amount Budgeted – Rs. 12,69,000/-
6- RBSK at Facility level including DEIC-OOC, Continued Activity,
For proper functioning of 9 DEICs, it is proposed to support with operational cost. DEIC having its own building will be given @ Rs. 25,000/DEIC/ Month and those DEIC which is under construction will be give @ Rs.20,000/DEIC/Month as operational cost. Thus the total budgeted amount is Rs.24 Lakhs. Detail of DEIC is annexed.7- RBSK at Facility level including DEIC-IEC &amp; Printing Continued Activity,DEICs are functional at district level. Referred children will be treated at DEICs. To maintain the record of children different types of registers are required at DEIC. Total Amount- 18.18Total-38.45+246.311+35.52+376.05+12.69+24+18.18=  Rs.751.21 Lakhs</t>
  </si>
  <si>
    <t>Priting and IEC
Continued Activities:
Various types Mela such as Sonepur Mela for one month, Pitripaksh Mela, Shrawani Mela, Rajgir Mahotsav etc.
Health Camp in 13 aspirational districts.Dist fund allotment for various misc. IEC/BCC Activities.Various Outdoor publicit
Printing of Diary, Annual Report, Fly Leat, Notepad etc.Outstanding payment of various actities, Rs. 70 lakhs.Thus Total Rs. 319.21 lakhs required. Annexure attached.
As per GoIthe record of Discussion held under the Chairmanship of Secretary (Health), MoHFW with the State /UTs on 8th April 2022 state proposed Health Mela @ 2 Lakh Per block (1*534)= 1068 lakhs.</t>
  </si>
</sst>
</file>

<file path=xl/styles.xml><?xml version="1.0" encoding="utf-8"?>
<styleSheet xmlns="http://schemas.openxmlformats.org/spreadsheetml/2006/main">
  <numFmts count="2">
    <numFmt numFmtId="164" formatCode="_ * #,##0.00_ ;_ * \-#,##0.00_ ;_ * &quot;-&quot;??_ ;_ @_ "/>
    <numFmt numFmtId="165" formatCode="0.0"/>
  </numFmts>
  <fonts count="31">
    <font>
      <sz val="10"/>
      <color rgb="FF000000"/>
      <name val="Arial"/>
    </font>
    <font>
      <sz val="11"/>
      <color theme="1"/>
      <name val="Arial"/>
      <family val="2"/>
      <scheme val="minor"/>
    </font>
    <font>
      <b/>
      <sz val="11"/>
      <color rgb="FF000000"/>
      <name val="Calibri"/>
      <family val="2"/>
    </font>
    <font>
      <sz val="11"/>
      <color rgb="FF000000"/>
      <name val="Calibri"/>
      <family val="2"/>
    </font>
    <font>
      <sz val="10"/>
      <color theme="1"/>
      <name val="Verdana"/>
      <family val="2"/>
    </font>
    <font>
      <sz val="10"/>
      <color theme="1"/>
      <name val="Verdana"/>
      <family val="2"/>
    </font>
    <font>
      <sz val="10"/>
      <color rgb="FF000000"/>
      <name val="Arial"/>
      <family val="2"/>
    </font>
    <font>
      <b/>
      <sz val="10"/>
      <name val="Arial"/>
      <family val="2"/>
    </font>
    <font>
      <b/>
      <sz val="10"/>
      <color rgb="FF000000"/>
      <name val="Arial"/>
      <family val="2"/>
    </font>
    <font>
      <b/>
      <sz val="11"/>
      <color rgb="FF000000"/>
      <name val="Arial Narrow"/>
      <family val="2"/>
    </font>
    <font>
      <sz val="11"/>
      <color rgb="FF000000"/>
      <name val="Arial Narrow"/>
      <family val="2"/>
    </font>
    <font>
      <sz val="11"/>
      <color theme="1"/>
      <name val="Arial Narrow"/>
      <family val="2"/>
    </font>
    <font>
      <b/>
      <sz val="12"/>
      <color rgb="FF000000"/>
      <name val="Arial Narrow"/>
      <family val="2"/>
    </font>
    <font>
      <sz val="12"/>
      <color rgb="FF000000"/>
      <name val="Arial Narrow"/>
      <family val="2"/>
    </font>
    <font>
      <sz val="12"/>
      <name val="Arial Narrow"/>
      <family val="2"/>
    </font>
    <font>
      <b/>
      <sz val="12"/>
      <color theme="1"/>
      <name val="Arial Narrow"/>
      <family val="2"/>
    </font>
    <font>
      <b/>
      <sz val="12"/>
      <color rgb="FF305496"/>
      <name val="Arial Narrow"/>
      <family val="2"/>
    </font>
    <font>
      <b/>
      <sz val="12"/>
      <color rgb="FF2F5496"/>
      <name val="Arial Narrow"/>
      <family val="2"/>
    </font>
    <font>
      <sz val="12"/>
      <color theme="1"/>
      <name val="Arial Narrow"/>
      <family val="2"/>
    </font>
    <font>
      <sz val="11"/>
      <color indexed="8"/>
      <name val="Arial Narrow"/>
      <family val="2"/>
    </font>
    <font>
      <b/>
      <sz val="11"/>
      <color indexed="8"/>
      <name val="Calibri"/>
      <family val="2"/>
    </font>
    <font>
      <sz val="11"/>
      <color indexed="8"/>
      <name val="Calibri"/>
      <family val="2"/>
    </font>
    <font>
      <b/>
      <u/>
      <sz val="10"/>
      <color theme="1"/>
      <name val="Arial Narrow"/>
      <family val="2"/>
    </font>
    <font>
      <sz val="10"/>
      <color rgb="FF000000"/>
      <name val="Arial Narrow"/>
      <family val="2"/>
    </font>
    <font>
      <b/>
      <sz val="10"/>
      <color rgb="FFFF0000"/>
      <name val="Arial Narrow"/>
      <family val="2"/>
    </font>
    <font>
      <b/>
      <sz val="10"/>
      <color theme="1"/>
      <name val="Arial Narrow"/>
      <family val="2"/>
    </font>
    <font>
      <u/>
      <sz val="12"/>
      <color rgb="FF000000"/>
      <name val="Arial Narrow"/>
      <family val="2"/>
    </font>
    <font>
      <b/>
      <sz val="12"/>
      <name val="Arial Narrow"/>
      <family val="2"/>
    </font>
    <font>
      <b/>
      <sz val="11"/>
      <color rgb="FF2F5496"/>
      <name val="Calibri"/>
      <family val="2"/>
    </font>
    <font>
      <b/>
      <sz val="11"/>
      <color indexed="8"/>
      <name val="Arial Narrow"/>
      <family val="2"/>
    </font>
    <font>
      <sz val="11"/>
      <color theme="1"/>
      <name val="Calibri"/>
      <family val="2"/>
    </font>
  </fonts>
  <fills count="23">
    <fill>
      <patternFill patternType="none"/>
    </fill>
    <fill>
      <patternFill patternType="gray125"/>
    </fill>
    <fill>
      <patternFill patternType="solid">
        <fgColor rgb="FFB4C6E7"/>
        <bgColor rgb="FFB4C6E7"/>
      </patternFill>
    </fill>
    <fill>
      <patternFill patternType="solid">
        <fgColor rgb="FFFFFFFF"/>
        <bgColor rgb="FFFFFFFF"/>
      </patternFill>
    </fill>
    <fill>
      <patternFill patternType="solid">
        <fgColor theme="0"/>
        <bgColor indexed="64"/>
      </patternFill>
    </fill>
    <fill>
      <patternFill patternType="solid">
        <fgColor theme="0"/>
        <bgColor rgb="FFD6DCE4"/>
      </patternFill>
    </fill>
    <fill>
      <patternFill patternType="solid">
        <fgColor theme="0"/>
        <bgColor rgb="FF93C47D"/>
      </patternFill>
    </fill>
    <fill>
      <patternFill patternType="solid">
        <fgColor theme="0"/>
        <bgColor rgb="FFFFFF00"/>
      </patternFill>
    </fill>
    <fill>
      <patternFill patternType="solid">
        <fgColor theme="1"/>
        <bgColor indexed="64"/>
      </patternFill>
    </fill>
    <fill>
      <patternFill patternType="solid">
        <fgColor theme="4" tint="0.39997558519241921"/>
        <bgColor rgb="FFB4C6E7"/>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59999389629810485"/>
        <bgColor rgb="FFFFFF00"/>
      </patternFill>
    </fill>
    <fill>
      <patternFill patternType="solid">
        <fgColor theme="6" tint="0.39997558519241921"/>
        <bgColor indexed="64"/>
      </patternFill>
    </fill>
    <fill>
      <patternFill patternType="solid">
        <fgColor theme="7" tint="0.79998168889431442"/>
        <bgColor rgb="FFB4C6E7"/>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59999389629810485"/>
        <bgColor rgb="FFFFFF00"/>
      </patternFill>
    </fill>
    <fill>
      <patternFill patternType="solid">
        <fgColor theme="5" tint="0.59999389629810485"/>
        <bgColor rgb="FFD6DCE4"/>
      </patternFill>
    </fill>
    <fill>
      <patternFill patternType="solid">
        <fgColor theme="5" tint="0.59999389629810485"/>
        <bgColor rgb="FF93C47D"/>
      </patternFill>
    </fill>
    <fill>
      <patternFill patternType="solid">
        <fgColor theme="7" tint="0.39997558519241921"/>
        <bgColor indexed="64"/>
      </patternFill>
    </fill>
    <fill>
      <patternFill patternType="solid">
        <fgColor theme="7" tint="0.39997558519241921"/>
        <bgColor rgb="FFFFFFFF"/>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6" fillId="0" borderId="0" applyFont="0" applyFill="0" applyBorder="0" applyAlignment="0" applyProtection="0"/>
    <xf numFmtId="0" fontId="1" fillId="0" borderId="0"/>
  </cellStyleXfs>
  <cellXfs count="175">
    <xf numFmtId="0" fontId="0" fillId="0" borderId="0" xfId="0" applyFont="1" applyAlignment="1"/>
    <xf numFmtId="0" fontId="0" fillId="0" borderId="1" xfId="0" applyFont="1" applyBorder="1" applyAlignment="1"/>
    <xf numFmtId="0" fontId="4" fillId="0" borderId="1" xfId="0"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vertical="center" wrapText="1"/>
    </xf>
    <xf numFmtId="0" fontId="2" fillId="9" borderId="1" xfId="0" applyFont="1" applyFill="1" applyBorder="1" applyAlignment="1">
      <alignment horizontal="center" wrapText="1"/>
    </xf>
    <xf numFmtId="0" fontId="2" fillId="9" borderId="1" xfId="0" applyFont="1" applyFill="1" applyBorder="1" applyAlignment="1">
      <alignment horizontal="center"/>
    </xf>
    <xf numFmtId="0" fontId="4" fillId="0" borderId="5" xfId="0" applyFont="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3" fillId="0" borderId="1" xfId="0" applyFont="1" applyBorder="1" applyAlignment="1">
      <alignment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vertical="center" wrapText="1"/>
    </xf>
    <xf numFmtId="0" fontId="0" fillId="0" borderId="0" xfId="0" applyFont="1" applyAlignment="1">
      <alignment horizontal="center" vertical="center" wrapText="1"/>
    </xf>
    <xf numFmtId="0" fontId="0" fillId="0" borderId="0" xfId="0" applyFont="1" applyAlignment="1">
      <alignment vertical="center"/>
    </xf>
    <xf numFmtId="0" fontId="0" fillId="0" borderId="1" xfId="0" applyFont="1" applyBorder="1" applyAlignment="1">
      <alignment horizontal="center" vertical="center" wrapText="1"/>
    </xf>
    <xf numFmtId="0" fontId="0" fillId="0" borderId="1" xfId="0" applyFont="1" applyBorder="1" applyAlignment="1">
      <alignment vertical="center"/>
    </xf>
    <xf numFmtId="0" fontId="0" fillId="15" borderId="1" xfId="0" applyFont="1" applyFill="1" applyBorder="1" applyAlignment="1">
      <alignment horizontal="center" vertical="center" wrapText="1"/>
    </xf>
    <xf numFmtId="0" fontId="0" fillId="0" borderId="0" xfId="0" applyFont="1" applyAlignment="1">
      <alignment horizontal="center"/>
    </xf>
    <xf numFmtId="0" fontId="8" fillId="10" borderId="1" xfId="0" applyFont="1" applyFill="1" applyBorder="1" applyAlignment="1"/>
    <xf numFmtId="0" fontId="0" fillId="0" borderId="1" xfId="0" applyFont="1" applyBorder="1" applyAlignment="1">
      <alignment horizontal="center"/>
    </xf>
    <xf numFmtId="2" fontId="2" fillId="0" borderId="1" xfId="0" applyNumberFormat="1" applyFont="1" applyFill="1" applyBorder="1" applyAlignment="1">
      <alignment vertical="center" wrapText="1"/>
    </xf>
    <xf numFmtId="0" fontId="9" fillId="0" borderId="1" xfId="0" applyFont="1" applyBorder="1" applyAlignment="1">
      <alignment vertical="top" wrapText="1"/>
    </xf>
    <xf numFmtId="0" fontId="13" fillId="0" borderId="0" xfId="0" applyFont="1" applyAlignment="1">
      <alignment vertical="center" wrapText="1"/>
    </xf>
    <xf numFmtId="0" fontId="12" fillId="0" borderId="8" xfId="0" applyFont="1" applyBorder="1" applyAlignment="1">
      <alignment vertical="center" wrapText="1"/>
    </xf>
    <xf numFmtId="0" fontId="12" fillId="2"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0" borderId="1" xfId="0" applyFont="1" applyBorder="1" applyAlignment="1">
      <alignment vertical="center" wrapText="1"/>
    </xf>
    <xf numFmtId="0" fontId="12" fillId="0" borderId="1" xfId="0" applyFont="1" applyBorder="1" applyAlignment="1">
      <alignment vertical="center" wrapText="1"/>
    </xf>
    <xf numFmtId="2" fontId="12" fillId="0" borderId="1" xfId="0" applyNumberFormat="1" applyFont="1" applyBorder="1" applyAlignment="1">
      <alignment vertical="center" wrapText="1"/>
    </xf>
    <xf numFmtId="0" fontId="17" fillId="5" borderId="1" xfId="0" applyFont="1" applyFill="1" applyBorder="1" applyAlignment="1">
      <alignment vertical="center" wrapText="1"/>
    </xf>
    <xf numFmtId="0" fontId="12"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3" fillId="0" borderId="0" xfId="0" applyFont="1" applyFill="1" applyAlignment="1">
      <alignment vertical="center" wrapText="1"/>
    </xf>
    <xf numFmtId="0" fontId="17" fillId="7" borderId="1" xfId="0" applyFont="1" applyFill="1" applyBorder="1" applyAlignment="1">
      <alignment vertical="center" wrapText="1"/>
    </xf>
    <xf numFmtId="0" fontId="17" fillId="4" borderId="1" xfId="0" applyFont="1" applyFill="1" applyBorder="1" applyAlignment="1">
      <alignment vertical="center" wrapText="1"/>
    </xf>
    <xf numFmtId="0" fontId="12" fillId="8" borderId="1" xfId="0" applyFont="1" applyFill="1" applyBorder="1" applyAlignment="1">
      <alignment vertical="center" wrapText="1"/>
    </xf>
    <xf numFmtId="0" fontId="12" fillId="3" borderId="1" xfId="0" applyFont="1" applyFill="1" applyBorder="1" applyAlignment="1">
      <alignment vertical="center" wrapText="1"/>
    </xf>
    <xf numFmtId="2" fontId="12" fillId="0" borderId="1" xfId="0" applyNumberFormat="1" applyFont="1" applyFill="1" applyBorder="1" applyAlignment="1">
      <alignment vertical="center" wrapText="1"/>
    </xf>
    <xf numFmtId="0" fontId="16"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6" fillId="0" borderId="1" xfId="0" applyFont="1" applyBorder="1" applyAlignment="1">
      <alignment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0" xfId="0" applyFont="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8" fillId="0" borderId="0" xfId="0" applyFont="1" applyFill="1" applyAlignment="1">
      <alignment vertical="center" wrapText="1"/>
    </xf>
    <xf numFmtId="0" fontId="13" fillId="0" borderId="1" xfId="0" applyFont="1" applyBorder="1" applyAlignment="1">
      <alignment vertical="center" wrapText="1"/>
    </xf>
    <xf numFmtId="0" fontId="16" fillId="0" borderId="3" xfId="0" applyFont="1" applyBorder="1" applyAlignment="1">
      <alignment horizontal="center" vertical="center" wrapText="1"/>
    </xf>
    <xf numFmtId="0" fontId="17" fillId="6" borderId="1" xfId="0" applyFont="1" applyFill="1" applyBorder="1" applyAlignment="1">
      <alignment vertical="center" wrapText="1"/>
    </xf>
    <xf numFmtId="0" fontId="18" fillId="8" borderId="1" xfId="0" applyFont="1" applyFill="1" applyBorder="1" applyAlignment="1">
      <alignment vertical="center" wrapText="1"/>
    </xf>
    <xf numFmtId="0" fontId="15" fillId="11" borderId="1" xfId="0" applyFont="1" applyFill="1" applyBorder="1" applyAlignment="1">
      <alignment horizontal="center" vertical="center" wrapText="1"/>
    </xf>
    <xf numFmtId="0" fontId="12" fillId="0" borderId="0" xfId="0" applyFont="1" applyAlignment="1">
      <alignment horizontal="center" vertical="center" wrapText="1"/>
    </xf>
    <xf numFmtId="0" fontId="13" fillId="0" borderId="1" xfId="0" applyNumberFormat="1" applyFont="1" applyBorder="1" applyAlignment="1">
      <alignment vertical="top" wrapText="1"/>
    </xf>
    <xf numFmtId="0" fontId="18" fillId="0" borderId="1" xfId="0" applyFont="1" applyBorder="1" applyAlignment="1">
      <alignment vertical="center" wrapText="1"/>
    </xf>
    <xf numFmtId="0" fontId="18" fillId="11" borderId="1" xfId="0" applyFont="1" applyFill="1" applyBorder="1" applyAlignment="1">
      <alignment horizontal="center" vertical="center" wrapText="1"/>
    </xf>
    <xf numFmtId="2" fontId="18" fillId="11" borderId="1" xfId="0" applyNumberFormat="1"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2" fontId="12" fillId="13" borderId="1" xfId="0" applyNumberFormat="1" applyFont="1" applyFill="1" applyBorder="1" applyAlignment="1">
      <alignment horizontal="center" vertical="center" wrapText="1"/>
    </xf>
    <xf numFmtId="0" fontId="18" fillId="0" borderId="0" xfId="0" applyFont="1" applyAlignment="1">
      <alignment horizontal="center" vertical="center" wrapText="1"/>
    </xf>
    <xf numFmtId="0" fontId="14" fillId="0" borderId="0" xfId="0" applyFont="1" applyAlignment="1">
      <alignment horizontal="center" vertical="center" wrapText="1"/>
    </xf>
    <xf numFmtId="0" fontId="18" fillId="0" borderId="0" xfId="0" applyFont="1" applyAlignment="1">
      <alignment vertical="center" wrapText="1"/>
    </xf>
    <xf numFmtId="2" fontId="18" fillId="0" borderId="0" xfId="0" applyNumberFormat="1" applyFont="1" applyAlignment="1">
      <alignment vertical="center" wrapText="1"/>
    </xf>
    <xf numFmtId="0" fontId="13" fillId="0" borderId="1" xfId="0" applyFont="1" applyBorder="1" applyAlignment="1">
      <alignment vertical="top" wrapText="1"/>
    </xf>
    <xf numFmtId="0" fontId="13" fillId="0" borderId="0" xfId="0" applyFont="1" applyAlignment="1">
      <alignment vertical="top" wrapText="1"/>
    </xf>
    <xf numFmtId="0" fontId="13" fillId="0" borderId="8" xfId="0" applyFont="1" applyBorder="1" applyAlignment="1">
      <alignment vertical="top" wrapText="1"/>
    </xf>
    <xf numFmtId="0" fontId="13" fillId="0" borderId="1" xfId="0" applyFont="1" applyFill="1" applyBorder="1" applyAlignment="1">
      <alignment vertical="top" wrapText="1"/>
    </xf>
    <xf numFmtId="0" fontId="13" fillId="3" borderId="1" xfId="0" applyFont="1" applyFill="1" applyBorder="1" applyAlignment="1">
      <alignment vertical="top" wrapText="1"/>
    </xf>
    <xf numFmtId="0" fontId="13" fillId="11" borderId="1" xfId="0" applyFont="1" applyFill="1" applyBorder="1" applyAlignment="1">
      <alignment horizontal="center" vertical="top" wrapText="1"/>
    </xf>
    <xf numFmtId="0" fontId="18" fillId="0" borderId="1" xfId="0" applyFont="1" applyFill="1" applyBorder="1" applyAlignment="1">
      <alignment vertical="top" wrapText="1"/>
    </xf>
    <xf numFmtId="0" fontId="18" fillId="11" borderId="1" xfId="0" applyFont="1" applyFill="1" applyBorder="1" applyAlignment="1">
      <alignment horizontal="center" vertical="top" wrapText="1"/>
    </xf>
    <xf numFmtId="0" fontId="18" fillId="0" borderId="1" xfId="0" applyFont="1" applyBorder="1" applyAlignment="1">
      <alignment vertical="top" wrapText="1"/>
    </xf>
    <xf numFmtId="0" fontId="13" fillId="13" borderId="1" xfId="0" applyFont="1" applyFill="1" applyBorder="1" applyAlignment="1">
      <alignment horizontal="center" vertical="top" wrapText="1"/>
    </xf>
    <xf numFmtId="0" fontId="18" fillId="0" borderId="0" xfId="0" applyFont="1" applyAlignment="1">
      <alignment vertical="top" wrapText="1"/>
    </xf>
    <xf numFmtId="0" fontId="3" fillId="0" borderId="1" xfId="0" applyFont="1" applyBorder="1" applyAlignment="1">
      <alignment vertical="top" wrapText="1"/>
    </xf>
    <xf numFmtId="0" fontId="11" fillId="0" borderId="1" xfId="0" applyFont="1" applyBorder="1" applyAlignment="1">
      <alignment vertical="top" wrapText="1"/>
    </xf>
    <xf numFmtId="165" fontId="12" fillId="0" borderId="1" xfId="0" applyNumberFormat="1" applyFont="1" applyBorder="1" applyAlignment="1">
      <alignment vertical="center" wrapText="1"/>
    </xf>
    <xf numFmtId="0" fontId="14" fillId="0" borderId="1" xfId="0" applyFont="1" applyFill="1" applyBorder="1" applyAlignment="1">
      <alignment vertical="top" wrapText="1"/>
    </xf>
    <xf numFmtId="0" fontId="14" fillId="0" borderId="1" xfId="0" applyFont="1" applyBorder="1" applyAlignment="1">
      <alignment vertical="top" wrapText="1"/>
    </xf>
    <xf numFmtId="2" fontId="12" fillId="3" borderId="1" xfId="0" applyNumberFormat="1" applyFont="1" applyFill="1" applyBorder="1" applyAlignment="1">
      <alignment vertical="center" wrapText="1"/>
    </xf>
    <xf numFmtId="2" fontId="12" fillId="11"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15" fillId="11" borderId="1" xfId="0" applyNumberFormat="1" applyFont="1" applyFill="1" applyBorder="1" applyAlignment="1">
      <alignment horizontal="center" vertical="center" wrapText="1"/>
    </xf>
    <xf numFmtId="0" fontId="27" fillId="0" borderId="1" xfId="0" applyFont="1" applyBorder="1" applyAlignment="1">
      <alignment vertical="center" wrapText="1"/>
    </xf>
    <xf numFmtId="165" fontId="12" fillId="0" borderId="1" xfId="0" applyNumberFormat="1" applyFont="1" applyBorder="1" applyAlignment="1">
      <alignment vertical="top" wrapText="1"/>
    </xf>
    <xf numFmtId="0" fontId="12" fillId="0" borderId="0" xfId="0" applyFont="1" applyAlignment="1">
      <alignment vertical="center" wrapText="1"/>
    </xf>
    <xf numFmtId="0" fontId="0" fillId="0" borderId="1" xfId="0" applyBorder="1" applyAlignment="1"/>
    <xf numFmtId="0" fontId="28" fillId="4" borderId="1" xfId="0" applyFont="1" applyFill="1" applyBorder="1" applyAlignment="1">
      <alignment horizontal="center" vertical="center" wrapText="1"/>
    </xf>
    <xf numFmtId="0" fontId="30" fillId="0" borderId="1" xfId="0" applyFont="1" applyBorder="1" applyAlignment="1">
      <alignment vertical="center" wrapText="1"/>
    </xf>
    <xf numFmtId="0" fontId="12" fillId="16" borderId="1" xfId="0" applyFont="1" applyFill="1" applyBorder="1" applyAlignment="1">
      <alignment vertical="center" wrapText="1"/>
    </xf>
    <xf numFmtId="2" fontId="12" fillId="16" borderId="1" xfId="0" applyNumberFormat="1" applyFont="1" applyFill="1" applyBorder="1" applyAlignment="1">
      <alignment vertical="center" wrapText="1"/>
    </xf>
    <xf numFmtId="0" fontId="2" fillId="16" borderId="1" xfId="0" applyFont="1" applyFill="1" applyBorder="1" applyAlignment="1">
      <alignment vertical="center" wrapText="1"/>
    </xf>
    <xf numFmtId="0" fontId="3" fillId="16" borderId="0" xfId="0" applyFont="1" applyFill="1" applyAlignment="1">
      <alignment vertical="center" wrapText="1"/>
    </xf>
    <xf numFmtId="0" fontId="12" fillId="16" borderId="1" xfId="0" applyFont="1" applyFill="1" applyBorder="1" applyAlignment="1">
      <alignment horizontal="center" vertical="center" wrapText="1"/>
    </xf>
    <xf numFmtId="0" fontId="13" fillId="16" borderId="1" xfId="0" applyFont="1" applyFill="1" applyBorder="1" applyAlignment="1">
      <alignment vertical="top" wrapText="1"/>
    </xf>
    <xf numFmtId="0" fontId="28" fillId="0" borderId="1" xfId="0" applyFont="1" applyFill="1" applyBorder="1" applyAlignment="1">
      <alignment horizontal="center" vertical="center" wrapText="1"/>
    </xf>
    <xf numFmtId="165" fontId="12" fillId="0" borderId="1" xfId="0" applyNumberFormat="1" applyFont="1" applyFill="1" applyBorder="1" applyAlignment="1">
      <alignment vertical="center" wrapText="1"/>
    </xf>
    <xf numFmtId="0" fontId="13" fillId="0" borderId="1" xfId="0" applyFont="1" applyBorder="1" applyAlignment="1">
      <alignment wrapText="1"/>
    </xf>
    <xf numFmtId="2" fontId="27" fillId="0" borderId="1" xfId="0" applyNumberFormat="1" applyFont="1" applyFill="1" applyBorder="1" applyAlignment="1">
      <alignment vertical="center" wrapText="1"/>
    </xf>
    <xf numFmtId="2" fontId="12" fillId="16" borderId="1" xfId="0" applyNumberFormat="1" applyFont="1" applyFill="1" applyBorder="1" applyAlignment="1">
      <alignment horizontal="center" vertical="center" wrapText="1"/>
    </xf>
    <xf numFmtId="2" fontId="27" fillId="0" borderId="1" xfId="0" applyNumberFormat="1" applyFont="1" applyBorder="1" applyAlignment="1">
      <alignment vertical="center" wrapText="1"/>
    </xf>
    <xf numFmtId="0" fontId="28" fillId="17" borderId="1"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18" borderId="1" xfId="0" applyFont="1" applyFill="1" applyBorder="1" applyAlignment="1">
      <alignment vertical="center" wrapText="1"/>
    </xf>
    <xf numFmtId="0" fontId="17" fillId="16" borderId="1" xfId="0" applyFont="1" applyFill="1" applyBorder="1" applyAlignment="1">
      <alignment vertical="center" wrapText="1"/>
    </xf>
    <xf numFmtId="0" fontId="17" fillId="19" borderId="1" xfId="0" applyFont="1" applyFill="1" applyBorder="1" applyAlignment="1">
      <alignment vertical="center" wrapText="1"/>
    </xf>
    <xf numFmtId="0" fontId="17" fillId="20" borderId="1" xfId="0" applyFont="1" applyFill="1" applyBorder="1" applyAlignment="1">
      <alignment vertical="center" wrapText="1"/>
    </xf>
    <xf numFmtId="0" fontId="10" fillId="0" borderId="0" xfId="0" applyFont="1" applyAlignment="1"/>
    <xf numFmtId="0" fontId="10" fillId="0" borderId="0" xfId="0" applyFont="1" applyAlignment="1">
      <alignment wrapText="1"/>
    </xf>
    <xf numFmtId="0" fontId="9" fillId="2" borderId="1"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10" fillId="0" borderId="1" xfId="0" applyFont="1" applyBorder="1" applyAlignment="1">
      <alignment vertical="center" wrapText="1"/>
    </xf>
    <xf numFmtId="164" fontId="10" fillId="0" borderId="1" xfId="1"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9" fillId="0" borderId="1" xfId="0" applyFont="1" applyBorder="1" applyAlignment="1">
      <alignment vertical="center" wrapText="1"/>
    </xf>
    <xf numFmtId="0" fontId="10" fillId="0" borderId="1" xfId="0" applyFont="1" applyBorder="1" applyAlignment="1"/>
    <xf numFmtId="0" fontId="13" fillId="16" borderId="1" xfId="0" applyFont="1" applyFill="1" applyBorder="1" applyAlignment="1">
      <alignment vertical="center" wrapText="1"/>
    </xf>
    <xf numFmtId="0" fontId="13" fillId="21" borderId="1" xfId="0" applyFont="1" applyFill="1" applyBorder="1" applyAlignment="1">
      <alignment vertical="top" wrapText="1"/>
    </xf>
    <xf numFmtId="0" fontId="13" fillId="22" borderId="1" xfId="0" applyFont="1" applyFill="1" applyBorder="1" applyAlignment="1">
      <alignment vertical="top" wrapText="1"/>
    </xf>
    <xf numFmtId="0" fontId="23" fillId="0" borderId="1" xfId="0" applyFont="1" applyBorder="1" applyAlignment="1">
      <alignment vertical="top" wrapText="1"/>
    </xf>
    <xf numFmtId="0" fontId="12" fillId="10" borderId="1" xfId="0" applyFont="1" applyFill="1" applyBorder="1" applyAlignment="1">
      <alignment vertical="center" wrapText="1"/>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15"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8" fillId="0" borderId="8"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8" xfId="0" applyFont="1" applyBorder="1" applyAlignment="1">
      <alignment horizontal="right"/>
    </xf>
    <xf numFmtId="0" fontId="12" fillId="0" borderId="0" xfId="0" applyFont="1" applyAlignment="1">
      <alignment horizontal="center" wrapText="1"/>
    </xf>
    <xf numFmtId="0" fontId="9" fillId="14"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2" fillId="2" borderId="1" xfId="0" applyFont="1" applyFill="1" applyBorder="1" applyAlignment="1">
      <alignment horizontal="center" vertical="center" wrapText="1"/>
    </xf>
    <xf numFmtId="0" fontId="14" fillId="0" borderId="1" xfId="0" applyFont="1" applyBorder="1" applyAlignment="1">
      <alignment vertical="center" wrapText="1"/>
    </xf>
    <xf numFmtId="0" fontId="16" fillId="0" borderId="2" xfId="0" applyFont="1" applyBorder="1" applyAlignment="1">
      <alignment horizontal="center" vertical="center" textRotation="90" wrapText="1"/>
    </xf>
    <xf numFmtId="0" fontId="16" fillId="0" borderId="4"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7" fillId="7"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2" fillId="2" borderId="7" xfId="0" applyFont="1" applyFill="1" applyBorder="1" applyAlignment="1">
      <alignment horizontal="center" vertical="center" wrapText="1"/>
    </xf>
    <xf numFmtId="0" fontId="16" fillId="11" borderId="5" xfId="0" applyFont="1" applyFill="1" applyBorder="1" applyAlignment="1">
      <alignment horizontal="center" vertical="center" wrapText="1"/>
    </xf>
    <xf numFmtId="0" fontId="16" fillId="11" borderId="6" xfId="0" applyFont="1" applyFill="1" applyBorder="1" applyAlignment="1">
      <alignment horizontal="center" vertical="center" wrapText="1"/>
    </xf>
    <xf numFmtId="0" fontId="16" fillId="11" borderId="7"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16" fillId="13" borderId="6" xfId="0" applyFont="1" applyFill="1" applyBorder="1" applyAlignment="1">
      <alignment horizontal="center" vertical="center" wrapText="1"/>
    </xf>
    <xf numFmtId="0" fontId="16" fillId="13" borderId="7"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right" vertical="center" wrapText="1"/>
    </xf>
    <xf numFmtId="0" fontId="16" fillId="11" borderId="1" xfId="0" applyFont="1" applyFill="1" applyBorder="1" applyAlignment="1">
      <alignment horizontal="center" vertical="center" wrapText="1"/>
    </xf>
    <xf numFmtId="0" fontId="16" fillId="0" borderId="1" xfId="0" applyFont="1" applyBorder="1" applyAlignment="1">
      <alignment horizontal="center" vertical="center" textRotation="90" wrapText="1"/>
    </xf>
    <xf numFmtId="0" fontId="0" fillId="0" borderId="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8" fillId="0" borderId="8" xfId="0" applyFont="1" applyBorder="1" applyAlignment="1">
      <alignment horizontal="center"/>
    </xf>
  </cellXfs>
  <cellStyles count="3">
    <cellStyle name="Comma" xfId="1" builtinId="3"/>
    <cellStyle name="Normal" xfId="0" builtinId="0"/>
    <cellStyle name="Normal 3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M51"/>
  <sheetViews>
    <sheetView workbookViewId="0">
      <pane xSplit="2" ySplit="3" topLeftCell="C4" activePane="bottomRight" state="frozen"/>
      <selection pane="topRight" activeCell="C1" sqref="C1"/>
      <selection pane="bottomLeft" activeCell="A3" sqref="A3"/>
      <selection pane="bottomRight" activeCell="D11" sqref="D11"/>
    </sheetView>
  </sheetViews>
  <sheetFormatPr defaultColWidth="8.7109375" defaultRowHeight="12.75"/>
  <cols>
    <col min="1" max="1" width="7.85546875" style="14" bestFit="1" customWidth="1"/>
    <col min="2" max="2" width="36" style="15" customWidth="1"/>
    <col min="3" max="3" width="14.42578125" style="17" customWidth="1"/>
    <col min="4" max="13" width="14.140625" style="16" customWidth="1"/>
    <col min="14" max="16384" width="8.7109375" style="17"/>
  </cols>
  <sheetData>
    <row r="1" spans="1:13">
      <c r="A1" s="134" t="s">
        <v>367</v>
      </c>
      <c r="B1" s="134"/>
      <c r="C1" s="134"/>
      <c r="D1" s="134"/>
      <c r="E1" s="134"/>
      <c r="F1" s="134"/>
      <c r="G1" s="134"/>
      <c r="H1" s="134"/>
      <c r="I1" s="134"/>
      <c r="J1" s="134"/>
      <c r="K1" s="134"/>
      <c r="L1" s="134"/>
      <c r="M1" s="134"/>
    </row>
    <row r="2" spans="1:13" ht="12.6" customHeight="1">
      <c r="A2" s="131" t="s">
        <v>304</v>
      </c>
      <c r="B2" s="130" t="s">
        <v>305</v>
      </c>
      <c r="C2" s="133" t="s">
        <v>323</v>
      </c>
      <c r="D2" s="132" t="s">
        <v>331</v>
      </c>
      <c r="E2" s="132"/>
      <c r="F2" s="132"/>
      <c r="G2" s="132"/>
      <c r="H2" s="132"/>
      <c r="I2" s="132"/>
      <c r="J2" s="132"/>
      <c r="K2" s="132"/>
      <c r="L2" s="132"/>
      <c r="M2" s="132"/>
    </row>
    <row r="3" spans="1:13" ht="51">
      <c r="A3" s="131"/>
      <c r="B3" s="130"/>
      <c r="C3" s="133"/>
      <c r="D3" s="20" t="s">
        <v>6</v>
      </c>
      <c r="E3" s="20" t="s">
        <v>328</v>
      </c>
      <c r="F3" s="20" t="s">
        <v>7</v>
      </c>
      <c r="G3" s="20" t="s">
        <v>324</v>
      </c>
      <c r="H3" s="20" t="s">
        <v>330</v>
      </c>
      <c r="I3" s="20" t="s">
        <v>325</v>
      </c>
      <c r="J3" s="20" t="s">
        <v>168</v>
      </c>
      <c r="K3" s="20" t="s">
        <v>326</v>
      </c>
      <c r="L3" s="20" t="s">
        <v>329</v>
      </c>
      <c r="M3" s="20" t="s">
        <v>327</v>
      </c>
    </row>
    <row r="4" spans="1:13">
      <c r="A4" s="11">
        <v>1</v>
      </c>
      <c r="B4" s="12" t="s">
        <v>322</v>
      </c>
      <c r="C4" s="19"/>
      <c r="D4" s="18"/>
      <c r="E4" s="18"/>
      <c r="F4" s="18"/>
      <c r="G4" s="18"/>
      <c r="H4" s="18"/>
      <c r="I4" s="18"/>
      <c r="J4" s="18"/>
      <c r="K4" s="18"/>
      <c r="L4" s="18"/>
      <c r="M4" s="18"/>
    </row>
    <row r="5" spans="1:13">
      <c r="A5" s="11">
        <v>2</v>
      </c>
      <c r="B5" s="12" t="s">
        <v>321</v>
      </c>
      <c r="C5" s="19"/>
      <c r="D5" s="18"/>
      <c r="E5" s="18"/>
      <c r="F5" s="18"/>
      <c r="G5" s="18"/>
      <c r="H5" s="18"/>
      <c r="I5" s="18"/>
      <c r="J5" s="18"/>
      <c r="K5" s="18"/>
      <c r="L5" s="18"/>
      <c r="M5" s="18"/>
    </row>
    <row r="6" spans="1:13" ht="25.5">
      <c r="A6" s="11">
        <v>3</v>
      </c>
      <c r="B6" s="12" t="s">
        <v>306</v>
      </c>
      <c r="C6" s="19"/>
      <c r="D6" s="18"/>
      <c r="E6" s="18"/>
      <c r="F6" s="18"/>
      <c r="G6" s="18"/>
      <c r="H6" s="18"/>
      <c r="I6" s="18"/>
      <c r="J6" s="18"/>
      <c r="K6" s="18"/>
      <c r="L6" s="18"/>
      <c r="M6" s="18"/>
    </row>
    <row r="7" spans="1:13" ht="38.25">
      <c r="A7" s="11">
        <v>4</v>
      </c>
      <c r="B7" s="12" t="s">
        <v>307</v>
      </c>
      <c r="C7" s="19"/>
      <c r="D7" s="18"/>
      <c r="E7" s="18"/>
      <c r="F7" s="18"/>
      <c r="G7" s="18"/>
      <c r="H7" s="18"/>
      <c r="I7" s="18"/>
      <c r="J7" s="18"/>
      <c r="K7" s="18"/>
      <c r="L7" s="18"/>
      <c r="M7" s="18"/>
    </row>
    <row r="8" spans="1:13">
      <c r="A8" s="11">
        <v>5</v>
      </c>
      <c r="B8" s="12" t="s">
        <v>308</v>
      </c>
      <c r="C8" s="19"/>
      <c r="D8" s="18"/>
      <c r="E8" s="18"/>
      <c r="F8" s="18"/>
      <c r="G8" s="18"/>
      <c r="H8" s="18"/>
      <c r="I8" s="18"/>
      <c r="J8" s="18"/>
      <c r="K8" s="18"/>
      <c r="L8" s="18"/>
      <c r="M8" s="18"/>
    </row>
    <row r="9" spans="1:13">
      <c r="A9" s="11">
        <v>6</v>
      </c>
      <c r="B9" s="12" t="s">
        <v>309</v>
      </c>
      <c r="C9" s="19"/>
      <c r="D9" s="18"/>
      <c r="E9" s="18"/>
      <c r="F9" s="18"/>
      <c r="G9" s="18"/>
      <c r="H9" s="18"/>
      <c r="I9" s="18"/>
      <c r="J9" s="18"/>
      <c r="K9" s="18"/>
      <c r="L9" s="18"/>
      <c r="M9" s="18"/>
    </row>
    <row r="10" spans="1:13">
      <c r="A10" s="11">
        <v>7</v>
      </c>
      <c r="B10" s="12" t="s">
        <v>310</v>
      </c>
      <c r="C10" s="19"/>
      <c r="D10" s="18"/>
      <c r="E10" s="18"/>
      <c r="F10" s="18"/>
      <c r="G10" s="18"/>
      <c r="H10" s="18"/>
      <c r="I10" s="18"/>
      <c r="J10" s="18"/>
      <c r="K10" s="18"/>
      <c r="L10" s="18"/>
      <c r="M10" s="18"/>
    </row>
    <row r="11" spans="1:13">
      <c r="A11" s="11">
        <v>8</v>
      </c>
      <c r="B11" s="12" t="s">
        <v>311</v>
      </c>
      <c r="C11" s="19"/>
      <c r="D11" s="18"/>
      <c r="E11" s="18"/>
      <c r="F11" s="18"/>
      <c r="G11" s="18"/>
      <c r="H11" s="18"/>
      <c r="I11" s="18"/>
      <c r="J11" s="18"/>
      <c r="K11" s="18"/>
      <c r="L11" s="18"/>
      <c r="M11" s="18"/>
    </row>
    <row r="12" spans="1:13" ht="25.5">
      <c r="A12" s="11">
        <v>9</v>
      </c>
      <c r="B12" s="12" t="s">
        <v>312</v>
      </c>
      <c r="C12" s="19"/>
      <c r="D12" s="18"/>
      <c r="E12" s="18"/>
      <c r="F12" s="18"/>
      <c r="G12" s="18"/>
      <c r="H12" s="18"/>
      <c r="I12" s="18"/>
      <c r="J12" s="18"/>
      <c r="K12" s="18"/>
      <c r="L12" s="18"/>
      <c r="M12" s="18"/>
    </row>
    <row r="13" spans="1:13" ht="25.5">
      <c r="A13" s="11">
        <v>10</v>
      </c>
      <c r="B13" s="12" t="s">
        <v>313</v>
      </c>
      <c r="C13" s="19"/>
      <c r="D13" s="18"/>
      <c r="E13" s="18"/>
      <c r="F13" s="18"/>
      <c r="G13" s="18"/>
      <c r="H13" s="18"/>
      <c r="I13" s="18"/>
      <c r="J13" s="18"/>
      <c r="K13" s="18"/>
      <c r="L13" s="18"/>
      <c r="M13" s="18"/>
    </row>
    <row r="14" spans="1:13" ht="25.5">
      <c r="A14" s="11">
        <v>11</v>
      </c>
      <c r="B14" s="12" t="s">
        <v>314</v>
      </c>
      <c r="C14" s="19"/>
      <c r="D14" s="18"/>
      <c r="E14" s="18"/>
      <c r="F14" s="18"/>
      <c r="G14" s="18"/>
      <c r="H14" s="18"/>
      <c r="I14" s="18"/>
      <c r="J14" s="18"/>
      <c r="K14" s="18"/>
      <c r="L14" s="18"/>
      <c r="M14" s="18"/>
    </row>
    <row r="15" spans="1:13" ht="25.5">
      <c r="A15" s="11">
        <v>12</v>
      </c>
      <c r="B15" s="12" t="s">
        <v>315</v>
      </c>
      <c r="C15" s="19"/>
      <c r="D15" s="18"/>
      <c r="E15" s="18"/>
      <c r="F15" s="18"/>
      <c r="G15" s="18"/>
      <c r="H15" s="18"/>
      <c r="I15" s="18"/>
      <c r="J15" s="18"/>
      <c r="K15" s="18"/>
      <c r="L15" s="18"/>
      <c r="M15" s="18"/>
    </row>
    <row r="16" spans="1:13">
      <c r="A16" s="11">
        <v>13</v>
      </c>
      <c r="B16" s="12" t="s">
        <v>316</v>
      </c>
      <c r="C16" s="19"/>
      <c r="D16" s="18"/>
      <c r="E16" s="18"/>
      <c r="F16" s="18"/>
      <c r="G16" s="18"/>
      <c r="H16" s="18"/>
      <c r="I16" s="18"/>
      <c r="J16" s="18"/>
      <c r="K16" s="18"/>
      <c r="L16" s="18"/>
      <c r="M16" s="18"/>
    </row>
    <row r="17" spans="1:13">
      <c r="A17" s="11">
        <v>14</v>
      </c>
      <c r="B17" s="12" t="s">
        <v>317</v>
      </c>
      <c r="C17" s="19"/>
      <c r="D17" s="18"/>
      <c r="E17" s="18"/>
      <c r="F17" s="18"/>
      <c r="G17" s="18"/>
      <c r="H17" s="18"/>
      <c r="I17" s="18"/>
      <c r="J17" s="18"/>
      <c r="K17" s="18"/>
      <c r="L17" s="18"/>
      <c r="M17" s="18"/>
    </row>
    <row r="18" spans="1:13">
      <c r="A18" s="11">
        <v>15</v>
      </c>
      <c r="B18" s="12" t="s">
        <v>318</v>
      </c>
      <c r="C18" s="19"/>
      <c r="D18" s="18"/>
      <c r="E18" s="18"/>
      <c r="F18" s="18"/>
      <c r="G18" s="18"/>
      <c r="H18" s="18"/>
      <c r="I18" s="18"/>
      <c r="J18" s="18"/>
      <c r="K18" s="18"/>
      <c r="L18" s="18"/>
      <c r="M18" s="18"/>
    </row>
    <row r="19" spans="1:13">
      <c r="A19" s="11">
        <v>16</v>
      </c>
      <c r="B19" s="12" t="s">
        <v>319</v>
      </c>
      <c r="C19" s="19"/>
      <c r="D19" s="18"/>
      <c r="E19" s="18"/>
      <c r="F19" s="18"/>
      <c r="G19" s="18"/>
      <c r="H19" s="18"/>
      <c r="I19" s="18"/>
      <c r="J19" s="18"/>
      <c r="K19" s="18"/>
      <c r="L19" s="18"/>
      <c r="M19" s="18"/>
    </row>
    <row r="20" spans="1:13" ht="25.5">
      <c r="A20" s="11">
        <v>17</v>
      </c>
      <c r="B20" s="12" t="s">
        <v>320</v>
      </c>
      <c r="C20" s="19"/>
      <c r="D20" s="18"/>
      <c r="E20" s="18"/>
      <c r="F20" s="18"/>
      <c r="G20" s="18"/>
      <c r="H20" s="18"/>
      <c r="I20" s="18"/>
      <c r="J20" s="18"/>
      <c r="K20" s="18"/>
      <c r="L20" s="18"/>
      <c r="M20" s="18"/>
    </row>
    <row r="21" spans="1:13">
      <c r="A21" s="11">
        <v>18</v>
      </c>
      <c r="B21" s="13"/>
      <c r="C21" s="19"/>
      <c r="D21" s="18"/>
      <c r="E21" s="18"/>
      <c r="F21" s="18"/>
      <c r="G21" s="18"/>
      <c r="H21" s="18"/>
      <c r="I21" s="18"/>
      <c r="J21" s="18"/>
      <c r="K21" s="18"/>
      <c r="L21" s="18"/>
      <c r="M21" s="18"/>
    </row>
    <row r="22" spans="1:13">
      <c r="A22" s="11">
        <v>19</v>
      </c>
      <c r="B22" s="13"/>
      <c r="C22" s="19"/>
      <c r="D22" s="18"/>
      <c r="E22" s="18"/>
      <c r="F22" s="18"/>
      <c r="G22" s="18"/>
      <c r="H22" s="18"/>
      <c r="I22" s="18"/>
      <c r="J22" s="18"/>
      <c r="K22" s="18"/>
      <c r="L22" s="18"/>
      <c r="M22" s="18"/>
    </row>
    <row r="23" spans="1:13">
      <c r="A23" s="11">
        <v>20</v>
      </c>
      <c r="B23" s="13"/>
      <c r="C23" s="19"/>
      <c r="D23" s="18"/>
      <c r="E23" s="18"/>
      <c r="F23" s="18"/>
      <c r="G23" s="18"/>
      <c r="H23" s="18"/>
      <c r="I23" s="18"/>
      <c r="J23" s="18"/>
      <c r="K23" s="18"/>
      <c r="L23" s="18"/>
      <c r="M23" s="18"/>
    </row>
    <row r="24" spans="1:13">
      <c r="A24" s="11">
        <v>21</v>
      </c>
      <c r="B24" s="13"/>
      <c r="C24" s="19"/>
      <c r="D24" s="18"/>
      <c r="E24" s="18"/>
      <c r="F24" s="18"/>
      <c r="G24" s="18"/>
      <c r="H24" s="18"/>
      <c r="I24" s="18"/>
      <c r="J24" s="18"/>
      <c r="K24" s="18"/>
      <c r="L24" s="18"/>
      <c r="M24" s="18"/>
    </row>
    <row r="25" spans="1:13">
      <c r="A25" s="11">
        <v>22</v>
      </c>
      <c r="B25" s="13"/>
      <c r="C25" s="19"/>
      <c r="D25" s="18"/>
      <c r="E25" s="18"/>
      <c r="F25" s="18"/>
      <c r="G25" s="18"/>
      <c r="H25" s="18"/>
      <c r="I25" s="18"/>
      <c r="J25" s="18"/>
      <c r="K25" s="18"/>
      <c r="L25" s="18"/>
      <c r="M25" s="18"/>
    </row>
    <row r="26" spans="1:13">
      <c r="A26" s="11">
        <v>23</v>
      </c>
      <c r="B26" s="13"/>
      <c r="C26" s="19"/>
      <c r="D26" s="18"/>
      <c r="E26" s="18"/>
      <c r="F26" s="18"/>
      <c r="G26" s="18"/>
      <c r="H26" s="18"/>
      <c r="I26" s="18"/>
      <c r="J26" s="18"/>
      <c r="K26" s="18"/>
      <c r="L26" s="18"/>
      <c r="M26" s="18"/>
    </row>
    <row r="27" spans="1:13">
      <c r="A27" s="11">
        <v>24</v>
      </c>
      <c r="B27" s="13"/>
      <c r="C27" s="19"/>
      <c r="D27" s="18"/>
      <c r="E27" s="18"/>
      <c r="F27" s="18"/>
      <c r="G27" s="18"/>
      <c r="H27" s="18"/>
      <c r="I27" s="18"/>
      <c r="J27" s="18"/>
      <c r="K27" s="18"/>
      <c r="L27" s="18"/>
      <c r="M27" s="18"/>
    </row>
    <row r="28" spans="1:13">
      <c r="A28" s="11">
        <v>25</v>
      </c>
      <c r="B28" s="13"/>
      <c r="C28" s="19"/>
      <c r="D28" s="18"/>
      <c r="E28" s="18"/>
      <c r="F28" s="18"/>
      <c r="G28" s="18"/>
      <c r="H28" s="18"/>
      <c r="I28" s="18"/>
      <c r="J28" s="18"/>
      <c r="K28" s="18"/>
      <c r="L28" s="18"/>
      <c r="M28" s="18"/>
    </row>
    <row r="29" spans="1:13">
      <c r="A29" s="11">
        <v>26</v>
      </c>
      <c r="B29" s="13"/>
      <c r="C29" s="19"/>
      <c r="D29" s="18"/>
      <c r="E29" s="18"/>
      <c r="F29" s="18"/>
      <c r="G29" s="18"/>
      <c r="H29" s="18"/>
      <c r="I29" s="18"/>
      <c r="J29" s="18"/>
      <c r="K29" s="18"/>
      <c r="L29" s="18"/>
      <c r="M29" s="18"/>
    </row>
    <row r="30" spans="1:13">
      <c r="A30" s="11">
        <v>27</v>
      </c>
      <c r="B30" s="13"/>
      <c r="C30" s="19"/>
      <c r="D30" s="18"/>
      <c r="E30" s="18"/>
      <c r="F30" s="18"/>
      <c r="G30" s="18"/>
      <c r="H30" s="18"/>
      <c r="I30" s="18"/>
      <c r="J30" s="18"/>
      <c r="K30" s="18"/>
      <c r="L30" s="18"/>
      <c r="M30" s="18"/>
    </row>
    <row r="31" spans="1:13">
      <c r="A31" s="11">
        <v>28</v>
      </c>
      <c r="B31" s="13"/>
      <c r="C31" s="19"/>
      <c r="D31" s="18"/>
      <c r="E31" s="18"/>
      <c r="F31" s="18"/>
      <c r="G31" s="18"/>
      <c r="H31" s="18"/>
      <c r="I31" s="18"/>
      <c r="J31" s="18"/>
      <c r="K31" s="18"/>
      <c r="L31" s="18"/>
      <c r="M31" s="18"/>
    </row>
    <row r="32" spans="1:13">
      <c r="A32" s="11">
        <v>29</v>
      </c>
      <c r="B32" s="13"/>
      <c r="C32" s="19"/>
      <c r="D32" s="18"/>
      <c r="E32" s="18"/>
      <c r="F32" s="18"/>
      <c r="G32" s="18"/>
      <c r="H32" s="18"/>
      <c r="I32" s="18"/>
      <c r="J32" s="18"/>
      <c r="K32" s="18"/>
      <c r="L32" s="18"/>
      <c r="M32" s="18"/>
    </row>
    <row r="33" spans="1:13">
      <c r="A33" s="11">
        <v>30</v>
      </c>
      <c r="B33" s="13"/>
      <c r="C33" s="19"/>
      <c r="D33" s="18"/>
      <c r="E33" s="18"/>
      <c r="F33" s="18"/>
      <c r="G33" s="18"/>
      <c r="H33" s="18"/>
      <c r="I33" s="18"/>
      <c r="J33" s="18"/>
      <c r="K33" s="18"/>
      <c r="L33" s="18"/>
      <c r="M33" s="18"/>
    </row>
    <row r="34" spans="1:13">
      <c r="A34" s="11">
        <v>31</v>
      </c>
      <c r="B34" s="13"/>
      <c r="C34" s="19"/>
      <c r="D34" s="18"/>
      <c r="E34" s="18"/>
      <c r="F34" s="18"/>
      <c r="G34" s="18"/>
      <c r="H34" s="18"/>
      <c r="I34" s="18"/>
      <c r="J34" s="18"/>
      <c r="K34" s="18"/>
      <c r="L34" s="18"/>
      <c r="M34" s="18"/>
    </row>
    <row r="35" spans="1:13">
      <c r="A35" s="11">
        <v>32</v>
      </c>
      <c r="B35" s="13"/>
      <c r="C35" s="19"/>
      <c r="D35" s="18"/>
      <c r="E35" s="18"/>
      <c r="F35" s="18"/>
      <c r="G35" s="18"/>
      <c r="H35" s="18"/>
      <c r="I35" s="18"/>
      <c r="J35" s="18"/>
      <c r="K35" s="18"/>
      <c r="L35" s="18"/>
      <c r="M35" s="18"/>
    </row>
    <row r="36" spans="1:13">
      <c r="A36" s="11">
        <v>33</v>
      </c>
      <c r="B36" s="13"/>
      <c r="C36" s="19"/>
      <c r="D36" s="18"/>
      <c r="E36" s="18"/>
      <c r="F36" s="18"/>
      <c r="G36" s="18"/>
      <c r="H36" s="18"/>
      <c r="I36" s="18"/>
      <c r="J36" s="18"/>
      <c r="K36" s="18"/>
      <c r="L36" s="18"/>
      <c r="M36" s="18"/>
    </row>
    <row r="37" spans="1:13">
      <c r="A37" s="11">
        <v>34</v>
      </c>
      <c r="B37" s="13"/>
      <c r="C37" s="19"/>
      <c r="D37" s="18"/>
      <c r="E37" s="18"/>
      <c r="F37" s="18"/>
      <c r="G37" s="18"/>
      <c r="H37" s="18"/>
      <c r="I37" s="18"/>
      <c r="J37" s="18"/>
      <c r="K37" s="18"/>
      <c r="L37" s="18"/>
      <c r="M37" s="18"/>
    </row>
    <row r="38" spans="1:13">
      <c r="A38" s="11">
        <v>35</v>
      </c>
      <c r="B38" s="13"/>
      <c r="C38" s="19"/>
      <c r="D38" s="18"/>
      <c r="E38" s="18"/>
      <c r="F38" s="18"/>
      <c r="G38" s="18"/>
      <c r="H38" s="18"/>
      <c r="I38" s="18"/>
      <c r="J38" s="18"/>
      <c r="K38" s="18"/>
      <c r="L38" s="18"/>
      <c r="M38" s="18"/>
    </row>
    <row r="39" spans="1:13">
      <c r="A39" s="11">
        <v>36</v>
      </c>
      <c r="B39" s="13"/>
      <c r="C39" s="19"/>
      <c r="D39" s="18"/>
      <c r="E39" s="18"/>
      <c r="F39" s="18"/>
      <c r="G39" s="18"/>
      <c r="H39" s="18"/>
      <c r="I39" s="18"/>
      <c r="J39" s="18"/>
      <c r="K39" s="18"/>
      <c r="L39" s="18"/>
      <c r="M39" s="18"/>
    </row>
    <row r="40" spans="1:13">
      <c r="A40" s="11">
        <v>37</v>
      </c>
      <c r="B40" s="13"/>
      <c r="C40" s="19"/>
      <c r="D40" s="18"/>
      <c r="E40" s="18"/>
      <c r="F40" s="18"/>
      <c r="G40" s="18"/>
      <c r="H40" s="18"/>
      <c r="I40" s="18"/>
      <c r="J40" s="18"/>
      <c r="K40" s="18"/>
      <c r="L40" s="18"/>
      <c r="M40" s="18"/>
    </row>
    <row r="41" spans="1:13">
      <c r="A41" s="11">
        <v>38</v>
      </c>
      <c r="B41" s="13"/>
      <c r="C41" s="19"/>
      <c r="D41" s="18"/>
      <c r="E41" s="18"/>
      <c r="F41" s="18"/>
      <c r="G41" s="18"/>
      <c r="H41" s="18"/>
      <c r="I41" s="18"/>
      <c r="J41" s="18"/>
      <c r="K41" s="18"/>
      <c r="L41" s="18"/>
      <c r="M41" s="18"/>
    </row>
    <row r="42" spans="1:13">
      <c r="A42" s="11">
        <v>39</v>
      </c>
      <c r="B42" s="13"/>
      <c r="C42" s="19"/>
      <c r="D42" s="18"/>
      <c r="E42" s="18"/>
      <c r="F42" s="18"/>
      <c r="G42" s="18"/>
      <c r="H42" s="18"/>
      <c r="I42" s="18"/>
      <c r="J42" s="18"/>
      <c r="K42" s="18"/>
      <c r="L42" s="18"/>
      <c r="M42" s="18"/>
    </row>
    <row r="43" spans="1:13">
      <c r="A43" s="11">
        <v>40</v>
      </c>
      <c r="B43" s="13"/>
      <c r="C43" s="19"/>
      <c r="D43" s="18"/>
      <c r="E43" s="18"/>
      <c r="F43" s="18"/>
      <c r="G43" s="18"/>
      <c r="H43" s="18"/>
      <c r="I43" s="18"/>
      <c r="J43" s="18"/>
      <c r="K43" s="18"/>
      <c r="L43" s="18"/>
      <c r="M43" s="18"/>
    </row>
    <row r="44" spans="1:13">
      <c r="A44" s="11">
        <v>41</v>
      </c>
      <c r="B44" s="13"/>
      <c r="C44" s="19"/>
      <c r="D44" s="18"/>
      <c r="E44" s="18"/>
      <c r="F44" s="18"/>
      <c r="G44" s="18"/>
      <c r="H44" s="18"/>
      <c r="I44" s="18"/>
      <c r="J44" s="18"/>
      <c r="K44" s="18"/>
      <c r="L44" s="18"/>
      <c r="M44" s="18"/>
    </row>
    <row r="45" spans="1:13">
      <c r="A45" s="11">
        <v>42</v>
      </c>
      <c r="B45" s="13"/>
      <c r="C45" s="19"/>
      <c r="D45" s="18"/>
      <c r="E45" s="18"/>
      <c r="F45" s="18"/>
      <c r="G45" s="18"/>
      <c r="H45" s="18"/>
      <c r="I45" s="18"/>
      <c r="J45" s="18"/>
      <c r="K45" s="18"/>
      <c r="L45" s="18"/>
      <c r="M45" s="18"/>
    </row>
    <row r="46" spans="1:13">
      <c r="A46" s="11">
        <v>43</v>
      </c>
      <c r="B46" s="13"/>
      <c r="C46" s="19"/>
      <c r="D46" s="18"/>
      <c r="E46" s="18"/>
      <c r="F46" s="18"/>
      <c r="G46" s="18"/>
      <c r="H46" s="18"/>
      <c r="I46" s="18"/>
      <c r="J46" s="18"/>
      <c r="K46" s="18"/>
      <c r="L46" s="18"/>
      <c r="M46" s="18"/>
    </row>
    <row r="47" spans="1:13">
      <c r="A47" s="11">
        <v>44</v>
      </c>
      <c r="B47" s="13"/>
      <c r="C47" s="19"/>
      <c r="D47" s="18"/>
      <c r="E47" s="18"/>
      <c r="F47" s="18"/>
      <c r="G47" s="18"/>
      <c r="H47" s="18"/>
      <c r="I47" s="18"/>
      <c r="J47" s="18"/>
      <c r="K47" s="18"/>
      <c r="L47" s="18"/>
      <c r="M47" s="18"/>
    </row>
    <row r="48" spans="1:13">
      <c r="A48" s="11">
        <v>45</v>
      </c>
      <c r="B48" s="13"/>
      <c r="C48" s="19"/>
      <c r="D48" s="18"/>
      <c r="E48" s="18"/>
      <c r="F48" s="18"/>
      <c r="G48" s="18"/>
      <c r="H48" s="18"/>
      <c r="I48" s="18"/>
      <c r="J48" s="18"/>
      <c r="K48" s="18"/>
      <c r="L48" s="18"/>
      <c r="M48" s="18"/>
    </row>
    <row r="49" spans="1:13">
      <c r="A49" s="11">
        <v>46</v>
      </c>
      <c r="B49" s="13"/>
      <c r="C49" s="19"/>
      <c r="D49" s="18"/>
      <c r="E49" s="18"/>
      <c r="F49" s="18"/>
      <c r="G49" s="18"/>
      <c r="H49" s="18"/>
      <c r="I49" s="18"/>
      <c r="J49" s="18"/>
      <c r="K49" s="18"/>
      <c r="L49" s="18"/>
      <c r="M49" s="18"/>
    </row>
    <row r="50" spans="1:13">
      <c r="A50" s="11">
        <v>47</v>
      </c>
      <c r="B50" s="13"/>
      <c r="C50" s="19"/>
      <c r="D50" s="18"/>
      <c r="E50" s="18"/>
      <c r="F50" s="18"/>
      <c r="G50" s="18"/>
      <c r="H50" s="18"/>
      <c r="I50" s="18"/>
      <c r="J50" s="18"/>
      <c r="K50" s="18"/>
      <c r="L50" s="18"/>
      <c r="M50" s="18"/>
    </row>
    <row r="51" spans="1:13">
      <c r="A51" s="11">
        <v>48</v>
      </c>
      <c r="B51" s="13"/>
      <c r="C51" s="19"/>
      <c r="D51" s="18"/>
      <c r="E51" s="18"/>
      <c r="F51" s="18"/>
      <c r="G51" s="18"/>
      <c r="H51" s="18"/>
      <c r="I51" s="18"/>
      <c r="J51" s="18"/>
      <c r="K51" s="18"/>
      <c r="L51" s="18"/>
      <c r="M51" s="18"/>
    </row>
  </sheetData>
  <mergeCells count="5">
    <mergeCell ref="B2:B3"/>
    <mergeCell ref="A2:A3"/>
    <mergeCell ref="D2:M2"/>
    <mergeCell ref="C2:C3"/>
    <mergeCell ref="A1:M1"/>
  </mergeCells>
  <pageMargins left="0.7" right="0.7" top="0.75" bottom="0.75" header="0.3" footer="0.3"/>
  <pageSetup paperSize="5" scale="82" fitToHeight="0" orientation="landscape" verticalDpi="0" r:id="rId1"/>
</worksheet>
</file>

<file path=xl/worksheets/sheet2.xml><?xml version="1.0" encoding="utf-8"?>
<worksheet xmlns="http://schemas.openxmlformats.org/spreadsheetml/2006/main" xmlns:r="http://schemas.openxmlformats.org/officeDocument/2006/relationships">
  <sheetPr>
    <pageSetUpPr fitToPage="1"/>
  </sheetPr>
  <dimension ref="A1:I22"/>
  <sheetViews>
    <sheetView workbookViewId="0">
      <selection activeCell="A3" sqref="A3:A5"/>
    </sheetView>
  </sheetViews>
  <sheetFormatPr defaultColWidth="8.7109375" defaultRowHeight="16.5"/>
  <cols>
    <col min="1" max="1" width="56.140625" style="116" customWidth="1"/>
    <col min="2" max="9" width="14" style="115" customWidth="1"/>
    <col min="10" max="16384" width="8.7109375" style="115"/>
  </cols>
  <sheetData>
    <row r="1" spans="1:9">
      <c r="A1" s="138" t="s">
        <v>337</v>
      </c>
      <c r="B1" s="138"/>
      <c r="C1" s="138"/>
      <c r="D1" s="138"/>
      <c r="E1" s="138"/>
      <c r="F1" s="138"/>
      <c r="G1" s="138"/>
      <c r="H1" s="138"/>
      <c r="I1" s="138"/>
    </row>
    <row r="2" spans="1:9">
      <c r="B2" s="137" t="s">
        <v>298</v>
      </c>
      <c r="C2" s="137"/>
      <c r="D2" s="137"/>
      <c r="E2" s="137"/>
      <c r="F2" s="137"/>
      <c r="G2" s="137"/>
      <c r="H2" s="137"/>
      <c r="I2" s="137"/>
    </row>
    <row r="3" spans="1:9" ht="14.45" customHeight="1">
      <c r="A3" s="141" t="s">
        <v>358</v>
      </c>
      <c r="B3" s="140" t="s">
        <v>301</v>
      </c>
      <c r="C3" s="140"/>
      <c r="D3" s="140"/>
      <c r="E3" s="140"/>
      <c r="F3" s="139" t="s">
        <v>302</v>
      </c>
      <c r="G3" s="139"/>
      <c r="H3" s="139"/>
      <c r="I3" s="139"/>
    </row>
    <row r="4" spans="1:9" ht="15" customHeight="1">
      <c r="A4" s="141"/>
      <c r="B4" s="140" t="s">
        <v>297</v>
      </c>
      <c r="C4" s="140" t="s">
        <v>360</v>
      </c>
      <c r="D4" s="140"/>
      <c r="E4" s="140"/>
      <c r="F4" s="139" t="s">
        <v>361</v>
      </c>
      <c r="G4" s="139" t="s">
        <v>360</v>
      </c>
      <c r="H4" s="139"/>
      <c r="I4" s="139"/>
    </row>
    <row r="5" spans="1:9" ht="33">
      <c r="A5" s="141"/>
      <c r="B5" s="140"/>
      <c r="C5" s="117" t="s">
        <v>299</v>
      </c>
      <c r="D5" s="117" t="s">
        <v>300</v>
      </c>
      <c r="E5" s="117" t="s">
        <v>303</v>
      </c>
      <c r="F5" s="139"/>
      <c r="G5" s="118" t="s">
        <v>299</v>
      </c>
      <c r="H5" s="118" t="s">
        <v>300</v>
      </c>
      <c r="I5" s="118" t="s">
        <v>303</v>
      </c>
    </row>
    <row r="6" spans="1:9" s="122" customFormat="1">
      <c r="A6" s="119" t="s">
        <v>14</v>
      </c>
      <c r="B6" s="120">
        <f>'Annexure-1 Budgeting format'!T68</f>
        <v>170007.581398168</v>
      </c>
      <c r="C6" s="120"/>
      <c r="D6" s="120"/>
      <c r="E6" s="120">
        <f>(B6)-C6-D6</f>
        <v>170007.581398168</v>
      </c>
      <c r="F6" s="120">
        <f>'Annexure-1 Budgeting format'!Z68</f>
        <v>0</v>
      </c>
      <c r="G6" s="121"/>
      <c r="H6" s="121"/>
      <c r="I6" s="120">
        <f>(F6)-G6-H6</f>
        <v>0</v>
      </c>
    </row>
    <row r="7" spans="1:9" s="122" customFormat="1" ht="33">
      <c r="A7" s="119" t="s">
        <v>295</v>
      </c>
      <c r="B7" s="120">
        <f>'Annexure-1 Budgeting format'!T93</f>
        <v>32977.581399999995</v>
      </c>
      <c r="C7" s="120"/>
      <c r="D7" s="120"/>
      <c r="E7" s="120">
        <f t="shared" ref="E7:E11" si="0">(B7)-C7-D7</f>
        <v>32977.581399999995</v>
      </c>
      <c r="F7" s="120">
        <f>'Annexure-1 Budgeting format'!Z93</f>
        <v>0</v>
      </c>
      <c r="G7" s="121"/>
      <c r="H7" s="121"/>
      <c r="I7" s="120">
        <f t="shared" ref="I7:I11" si="1">(F7)-G7-H7</f>
        <v>0</v>
      </c>
    </row>
    <row r="8" spans="1:9" s="122" customFormat="1" ht="33">
      <c r="A8" s="119" t="s">
        <v>296</v>
      </c>
      <c r="B8" s="120">
        <f>'Annexure-1 Budgeting format'!T134</f>
        <v>17106.148500000003</v>
      </c>
      <c r="C8" s="120"/>
      <c r="D8" s="120"/>
      <c r="E8" s="120">
        <f t="shared" si="0"/>
        <v>17106.148500000003</v>
      </c>
      <c r="F8" s="120">
        <f>'Annexure-1 Budgeting format'!Z134</f>
        <v>0</v>
      </c>
      <c r="G8" s="121"/>
      <c r="H8" s="121"/>
      <c r="I8" s="120">
        <f t="shared" si="1"/>
        <v>0</v>
      </c>
    </row>
    <row r="9" spans="1:9" s="122" customFormat="1">
      <c r="A9" s="119" t="s">
        <v>294</v>
      </c>
      <c r="B9" s="120">
        <f>'Annexure-1 Budgeting format'!T158</f>
        <v>6209.9900000000007</v>
      </c>
      <c r="C9" s="120"/>
      <c r="D9" s="120"/>
      <c r="E9" s="120">
        <f t="shared" si="0"/>
        <v>6209.9900000000007</v>
      </c>
      <c r="F9" s="120">
        <f>'Annexure-1 Budgeting format'!Z158</f>
        <v>0</v>
      </c>
      <c r="G9" s="121"/>
      <c r="H9" s="121"/>
      <c r="I9" s="120">
        <f t="shared" si="1"/>
        <v>0</v>
      </c>
    </row>
    <row r="10" spans="1:9" s="122" customFormat="1">
      <c r="A10" s="119" t="s">
        <v>293</v>
      </c>
      <c r="B10" s="120">
        <f>'Annexure-1 Budgeting format'!T210</f>
        <v>459938.86767999997</v>
      </c>
      <c r="C10" s="120"/>
      <c r="D10" s="120"/>
      <c r="E10" s="120">
        <f t="shared" si="0"/>
        <v>459938.86767999997</v>
      </c>
      <c r="F10" s="120">
        <f>'Annexure-1 Budgeting format'!Z210</f>
        <v>0</v>
      </c>
      <c r="G10" s="121"/>
      <c r="H10" s="121"/>
      <c r="I10" s="120">
        <f t="shared" si="1"/>
        <v>0</v>
      </c>
    </row>
    <row r="11" spans="1:9" s="122" customFormat="1">
      <c r="A11" s="123" t="s">
        <v>13</v>
      </c>
      <c r="B11" s="120">
        <f>SUM(B6:B10)</f>
        <v>686240.16897816793</v>
      </c>
      <c r="C11" s="120">
        <f t="shared" ref="C11:F11" si="2">SUM(C6:C10)</f>
        <v>0</v>
      </c>
      <c r="D11" s="120">
        <f t="shared" si="2"/>
        <v>0</v>
      </c>
      <c r="E11" s="120">
        <f t="shared" si="0"/>
        <v>686240.16897816793</v>
      </c>
      <c r="F11" s="120">
        <f t="shared" si="2"/>
        <v>0</v>
      </c>
      <c r="G11" s="121"/>
      <c r="H11" s="121"/>
      <c r="I11" s="120">
        <f t="shared" si="1"/>
        <v>0</v>
      </c>
    </row>
    <row r="13" spans="1:9">
      <c r="B13" s="137" t="s">
        <v>298</v>
      </c>
      <c r="C13" s="137"/>
      <c r="D13" s="137"/>
      <c r="E13" s="137"/>
      <c r="F13" s="137"/>
      <c r="G13" s="137"/>
      <c r="H13" s="137"/>
      <c r="I13" s="137"/>
    </row>
    <row r="14" spans="1:9" ht="15" customHeight="1">
      <c r="A14" s="141" t="s">
        <v>359</v>
      </c>
      <c r="B14" s="140" t="s">
        <v>301</v>
      </c>
      <c r="C14" s="140"/>
      <c r="D14" s="140"/>
      <c r="E14" s="140"/>
      <c r="F14" s="139" t="s">
        <v>302</v>
      </c>
      <c r="G14" s="139"/>
      <c r="H14" s="139"/>
      <c r="I14" s="139"/>
    </row>
    <row r="15" spans="1:9" ht="15" customHeight="1">
      <c r="A15" s="141"/>
      <c r="B15" s="135" t="s">
        <v>297</v>
      </c>
      <c r="C15" s="140" t="s">
        <v>362</v>
      </c>
      <c r="D15" s="140"/>
      <c r="E15" s="140"/>
      <c r="F15" s="139" t="s">
        <v>361</v>
      </c>
      <c r="G15" s="139" t="s">
        <v>362</v>
      </c>
      <c r="H15" s="139"/>
      <c r="I15" s="139"/>
    </row>
    <row r="16" spans="1:9" ht="33">
      <c r="A16" s="141"/>
      <c r="B16" s="136"/>
      <c r="C16" s="117" t="s">
        <v>299</v>
      </c>
      <c r="D16" s="117" t="s">
        <v>300</v>
      </c>
      <c r="E16" s="117" t="s">
        <v>303</v>
      </c>
      <c r="F16" s="139"/>
      <c r="G16" s="118" t="s">
        <v>299</v>
      </c>
      <c r="H16" s="118" t="s">
        <v>300</v>
      </c>
      <c r="I16" s="118" t="s">
        <v>303</v>
      </c>
    </row>
    <row r="17" spans="1:9">
      <c r="A17" s="119" t="s">
        <v>14</v>
      </c>
      <c r="B17" s="120">
        <f>'Annexure-1 Budgeting format'!U68</f>
        <v>165969.84030243973</v>
      </c>
      <c r="C17" s="120"/>
      <c r="D17" s="120"/>
      <c r="E17" s="120">
        <f>(B17)-C17-D17</f>
        <v>165969.84030243973</v>
      </c>
      <c r="F17" s="120">
        <f>'Annexure-1 Budgeting format'!AA68</f>
        <v>0</v>
      </c>
      <c r="G17" s="124"/>
      <c r="H17" s="124"/>
      <c r="I17" s="120">
        <f>(F17)-G17-H17</f>
        <v>0</v>
      </c>
    </row>
    <row r="18" spans="1:9" ht="33">
      <c r="A18" s="119" t="s">
        <v>295</v>
      </c>
      <c r="B18" s="120">
        <f>'Annexure-1 Budgeting format'!U93</f>
        <v>37896.667936000005</v>
      </c>
      <c r="C18" s="120"/>
      <c r="D18" s="120"/>
      <c r="E18" s="120">
        <f t="shared" ref="E18:E22" si="3">(B18)-C18-D18</f>
        <v>37896.667936000005</v>
      </c>
      <c r="F18" s="120">
        <f>'Annexure-1 Budgeting format'!AA93</f>
        <v>0</v>
      </c>
      <c r="G18" s="124"/>
      <c r="H18" s="124"/>
      <c r="I18" s="120">
        <f t="shared" ref="I18:I22" si="4">(F18)-G18-H18</f>
        <v>0</v>
      </c>
    </row>
    <row r="19" spans="1:9" ht="33">
      <c r="A19" s="119" t="s">
        <v>296</v>
      </c>
      <c r="B19" s="120">
        <f>'Annexure-1 Budgeting format'!U134</f>
        <v>18528.748909999998</v>
      </c>
      <c r="C19" s="120"/>
      <c r="D19" s="120"/>
      <c r="E19" s="120">
        <f t="shared" si="3"/>
        <v>18528.748909999998</v>
      </c>
      <c r="F19" s="120">
        <f>'Annexure-1 Budgeting format'!AA134</f>
        <v>0</v>
      </c>
      <c r="G19" s="124"/>
      <c r="H19" s="124"/>
      <c r="I19" s="120">
        <f t="shared" si="4"/>
        <v>0</v>
      </c>
    </row>
    <row r="20" spans="1:9">
      <c r="A20" s="119" t="s">
        <v>294</v>
      </c>
      <c r="B20" s="120">
        <f>'Annexure-1 Budgeting format'!U158</f>
        <v>7127.6999999999989</v>
      </c>
      <c r="C20" s="120"/>
      <c r="D20" s="120"/>
      <c r="E20" s="120">
        <f t="shared" si="3"/>
        <v>7127.6999999999989</v>
      </c>
      <c r="F20" s="120">
        <f>'Annexure-1 Budgeting format'!AA158</f>
        <v>0</v>
      </c>
      <c r="G20" s="124"/>
      <c r="H20" s="124"/>
      <c r="I20" s="120">
        <f t="shared" si="4"/>
        <v>0</v>
      </c>
    </row>
    <row r="21" spans="1:9">
      <c r="A21" s="119" t="s">
        <v>293</v>
      </c>
      <c r="B21" s="120">
        <f>'Annexure-1 Budgeting format'!U210</f>
        <v>387942.32870000001</v>
      </c>
      <c r="C21" s="120"/>
      <c r="D21" s="120"/>
      <c r="E21" s="120">
        <f t="shared" si="3"/>
        <v>387942.32870000001</v>
      </c>
      <c r="F21" s="120">
        <f>'Annexure-1 Budgeting format'!AA210</f>
        <v>0</v>
      </c>
      <c r="G21" s="124"/>
      <c r="H21" s="124"/>
      <c r="I21" s="120">
        <f t="shared" si="4"/>
        <v>0</v>
      </c>
    </row>
    <row r="22" spans="1:9">
      <c r="A22" s="123" t="s">
        <v>13</v>
      </c>
      <c r="B22" s="120">
        <f>SUM(B17:B21)</f>
        <v>617465.28584843979</v>
      </c>
      <c r="C22" s="120">
        <f t="shared" ref="C22:F22" si="5">SUM(C17:C21)</f>
        <v>0</v>
      </c>
      <c r="D22" s="120">
        <f t="shared" si="5"/>
        <v>0</v>
      </c>
      <c r="E22" s="120">
        <f t="shared" si="3"/>
        <v>617465.28584843979</v>
      </c>
      <c r="F22" s="120">
        <f t="shared" si="5"/>
        <v>0</v>
      </c>
      <c r="G22" s="124"/>
      <c r="H22" s="124"/>
      <c r="I22" s="120">
        <f t="shared" si="4"/>
        <v>0</v>
      </c>
    </row>
  </sheetData>
  <mergeCells count="17">
    <mergeCell ref="C15:E15"/>
    <mergeCell ref="B15:B16"/>
    <mergeCell ref="B2:I2"/>
    <mergeCell ref="A1:I1"/>
    <mergeCell ref="G4:I4"/>
    <mergeCell ref="F3:I3"/>
    <mergeCell ref="F14:I14"/>
    <mergeCell ref="C4:E4"/>
    <mergeCell ref="B3:E3"/>
    <mergeCell ref="B4:B5"/>
    <mergeCell ref="F4:F5"/>
    <mergeCell ref="A3:A5"/>
    <mergeCell ref="A14:A16"/>
    <mergeCell ref="B13:I13"/>
    <mergeCell ref="F15:F16"/>
    <mergeCell ref="G15:I15"/>
    <mergeCell ref="B14:E14"/>
  </mergeCells>
  <pageMargins left="0.7" right="0.7" top="0.75" bottom="0.75" header="0.3" footer="0.3"/>
  <pageSetup paperSize="5" scale="97" orientation="landscape" verticalDpi="0" r:id="rId1"/>
</worksheet>
</file>

<file path=xl/worksheets/sheet3.xml><?xml version="1.0" encoding="utf-8"?>
<worksheet xmlns="http://schemas.openxmlformats.org/spreadsheetml/2006/main" xmlns:r="http://schemas.openxmlformats.org/officeDocument/2006/relationships">
  <sheetPr>
    <outlinePr summaryBelow="0" summaryRight="0"/>
  </sheetPr>
  <dimension ref="A1:AC1040"/>
  <sheetViews>
    <sheetView tabSelected="1" view="pageBreakPreview" zoomScale="70" zoomScaleNormal="70" zoomScaleSheetLayoutView="70" workbookViewId="0">
      <pane xSplit="5" ySplit="5" topLeftCell="O171" activePane="bottomRight" state="frozen"/>
      <selection pane="topRight" activeCell="F1" sqref="F1"/>
      <selection pane="bottomLeft" activeCell="A6" sqref="A6"/>
      <selection pane="bottomRight" activeCell="W172" sqref="W172"/>
    </sheetView>
  </sheetViews>
  <sheetFormatPr defaultColWidth="14.42578125" defaultRowHeight="15.75"/>
  <cols>
    <col min="1" max="1" width="9.5703125" style="50" customWidth="1"/>
    <col min="2" max="2" width="10.85546875" style="50" customWidth="1"/>
    <col min="3" max="3" width="16.7109375" style="50" customWidth="1"/>
    <col min="4" max="4" width="6.28515625" style="50" customWidth="1"/>
    <col min="5" max="5" width="25.7109375" style="26" customWidth="1"/>
    <col min="6" max="6" width="11.140625" style="26" customWidth="1"/>
    <col min="7" max="7" width="10.7109375" style="26" customWidth="1"/>
    <col min="8" max="8" width="12.5703125" style="26" customWidth="1"/>
    <col min="9" max="9" width="13.140625" style="26" customWidth="1"/>
    <col min="10" max="10" width="10" style="26" customWidth="1"/>
    <col min="11" max="11" width="13.85546875" style="26" customWidth="1"/>
    <col min="12" max="12" width="10.42578125" style="26" customWidth="1"/>
    <col min="13" max="13" width="14.42578125" style="26" customWidth="1"/>
    <col min="14" max="14" width="10.85546875" style="26" customWidth="1"/>
    <col min="15" max="15" width="12.140625" style="26" customWidth="1"/>
    <col min="16" max="16" width="11.140625" style="26" customWidth="1"/>
    <col min="17" max="17" width="7.85546875" style="26" customWidth="1"/>
    <col min="18" max="18" width="8.28515625" style="26" customWidth="1"/>
    <col min="19" max="19" width="11.42578125" style="26" customWidth="1"/>
    <col min="20" max="20" width="11" style="26" customWidth="1"/>
    <col min="21" max="21" width="10.7109375" style="26" customWidth="1"/>
    <col min="22" max="22" width="11.42578125" style="26" hidden="1" customWidth="1"/>
    <col min="23" max="23" width="139.85546875" style="72" customWidth="1"/>
    <col min="24" max="24" width="9.42578125" style="26" hidden="1" customWidth="1"/>
    <col min="25" max="25" width="8.7109375" style="26" hidden="1" customWidth="1"/>
    <col min="26" max="26" width="9.28515625" style="26" hidden="1" customWidth="1"/>
    <col min="27" max="27" width="8.85546875" style="26" hidden="1" customWidth="1"/>
    <col min="28" max="28" width="10.7109375" style="26" hidden="1" customWidth="1"/>
    <col min="29" max="30" width="14.42578125" style="26" customWidth="1"/>
    <col min="31" max="16384" width="14.42578125" style="26"/>
  </cols>
  <sheetData>
    <row r="1" spans="1:29">
      <c r="A1" s="164" t="s">
        <v>289</v>
      </c>
      <c r="B1" s="164"/>
      <c r="C1" s="164"/>
      <c r="D1" s="164"/>
      <c r="E1" s="164"/>
    </row>
    <row r="2" spans="1:29">
      <c r="E2" s="93" t="s">
        <v>427</v>
      </c>
    </row>
    <row r="3" spans="1:29">
      <c r="A3" s="26"/>
      <c r="B3" s="27"/>
      <c r="C3" s="27"/>
      <c r="D3" s="27"/>
      <c r="E3" s="27"/>
      <c r="F3" s="27"/>
      <c r="G3" s="27"/>
      <c r="H3" s="27"/>
      <c r="I3" s="27"/>
      <c r="J3" s="27"/>
      <c r="K3" s="27"/>
      <c r="L3" s="27"/>
      <c r="M3" s="27"/>
      <c r="N3" s="27"/>
      <c r="O3" s="27"/>
      <c r="P3" s="27"/>
      <c r="Q3" s="27"/>
      <c r="R3" s="27"/>
      <c r="S3" s="27"/>
      <c r="T3" s="27"/>
      <c r="U3" s="27"/>
      <c r="V3" s="27"/>
      <c r="W3" s="73"/>
      <c r="X3" s="27"/>
      <c r="Y3" s="165" t="s">
        <v>364</v>
      </c>
      <c r="Z3" s="165"/>
      <c r="AA3" s="165"/>
      <c r="AB3" s="165"/>
    </row>
    <row r="4" spans="1:29" ht="29.25" customHeight="1">
      <c r="A4" s="145" t="s">
        <v>0</v>
      </c>
      <c r="B4" s="145" t="s">
        <v>1</v>
      </c>
      <c r="C4" s="145" t="s">
        <v>2</v>
      </c>
      <c r="D4" s="145" t="s">
        <v>3</v>
      </c>
      <c r="E4" s="145" t="s">
        <v>4</v>
      </c>
      <c r="F4" s="145" t="s">
        <v>5</v>
      </c>
      <c r="G4" s="153" t="s">
        <v>6</v>
      </c>
      <c r="H4" s="156"/>
      <c r="I4" s="145" t="s">
        <v>167</v>
      </c>
      <c r="J4" s="145" t="s">
        <v>335</v>
      </c>
      <c r="K4" s="146"/>
      <c r="L4" s="146"/>
      <c r="M4" s="145" t="s">
        <v>377</v>
      </c>
      <c r="N4" s="145" t="s">
        <v>271</v>
      </c>
      <c r="O4" s="145" t="s">
        <v>8</v>
      </c>
      <c r="P4" s="145" t="s">
        <v>153</v>
      </c>
      <c r="Q4" s="145" t="s">
        <v>168</v>
      </c>
      <c r="R4" s="145" t="s">
        <v>366</v>
      </c>
      <c r="S4" s="145" t="s">
        <v>9</v>
      </c>
      <c r="T4" s="145" t="s">
        <v>285</v>
      </c>
      <c r="U4" s="145"/>
      <c r="V4" s="145"/>
      <c r="W4" s="155" t="s">
        <v>333</v>
      </c>
      <c r="X4" s="153" t="s">
        <v>10</v>
      </c>
      <c r="Y4" s="154"/>
      <c r="Z4" s="153" t="s">
        <v>11</v>
      </c>
      <c r="AA4" s="156"/>
      <c r="AB4" s="145" t="s">
        <v>12</v>
      </c>
    </row>
    <row r="5" spans="1:29" ht="51.75" customHeight="1">
      <c r="A5" s="151"/>
      <c r="B5" s="151"/>
      <c r="C5" s="151"/>
      <c r="D5" s="151"/>
      <c r="E5" s="151"/>
      <c r="F5" s="146"/>
      <c r="G5" s="28" t="s">
        <v>365</v>
      </c>
      <c r="H5" s="28" t="s">
        <v>363</v>
      </c>
      <c r="I5" s="146"/>
      <c r="J5" s="28" t="s">
        <v>378</v>
      </c>
      <c r="K5" s="28" t="s">
        <v>270</v>
      </c>
      <c r="L5" s="28" t="s">
        <v>13</v>
      </c>
      <c r="M5" s="146"/>
      <c r="N5" s="146"/>
      <c r="O5" s="146"/>
      <c r="P5" s="146"/>
      <c r="Q5" s="146"/>
      <c r="R5" s="146"/>
      <c r="S5" s="146"/>
      <c r="T5" s="28" t="s">
        <v>286</v>
      </c>
      <c r="U5" s="28" t="s">
        <v>287</v>
      </c>
      <c r="V5" s="28" t="s">
        <v>284</v>
      </c>
      <c r="W5" s="155"/>
      <c r="X5" s="28" t="s">
        <v>286</v>
      </c>
      <c r="Y5" s="28" t="s">
        <v>287</v>
      </c>
      <c r="Z5" s="28" t="s">
        <v>286</v>
      </c>
      <c r="AA5" s="28" t="s">
        <v>287</v>
      </c>
      <c r="AB5" s="146"/>
    </row>
    <row r="6" spans="1:29" ht="66" customHeight="1">
      <c r="A6" s="147" t="s">
        <v>14</v>
      </c>
      <c r="B6" s="150" t="s">
        <v>15</v>
      </c>
      <c r="C6" s="150" t="s">
        <v>16</v>
      </c>
      <c r="D6" s="29">
        <v>1</v>
      </c>
      <c r="E6" s="30" t="s">
        <v>17</v>
      </c>
      <c r="F6" s="31"/>
      <c r="G6" s="31"/>
      <c r="H6" s="31"/>
      <c r="I6" s="31"/>
      <c r="J6" s="31"/>
      <c r="K6" s="31"/>
      <c r="L6" s="31">
        <f>J6+K6</f>
        <v>0</v>
      </c>
      <c r="M6" s="31"/>
      <c r="N6" s="31"/>
      <c r="O6" s="31"/>
      <c r="P6" s="31">
        <v>1407.38</v>
      </c>
      <c r="Q6" s="31"/>
      <c r="R6" s="31"/>
      <c r="S6" s="31"/>
      <c r="T6" s="32">
        <f>F6+G6+H6+I6+L6+M6+N6+O6+P6+Q6+R6+S6</f>
        <v>1407.38</v>
      </c>
      <c r="U6" s="32">
        <v>1407.38</v>
      </c>
      <c r="V6" s="31"/>
      <c r="W6" s="71" t="s">
        <v>472</v>
      </c>
      <c r="X6" s="31"/>
      <c r="Y6" s="31"/>
      <c r="Z6" s="31"/>
      <c r="AA6" s="31"/>
      <c r="AB6" s="31"/>
    </row>
    <row r="7" spans="1:29" ht="96.75" customHeight="1">
      <c r="A7" s="148"/>
      <c r="B7" s="151"/>
      <c r="C7" s="151"/>
      <c r="D7" s="29">
        <v>2</v>
      </c>
      <c r="E7" s="30" t="s">
        <v>18</v>
      </c>
      <c r="F7" s="31"/>
      <c r="G7" s="31"/>
      <c r="H7" s="31"/>
      <c r="I7" s="31"/>
      <c r="J7" s="31"/>
      <c r="K7" s="31"/>
      <c r="L7" s="31">
        <f t="shared" ref="L7:L36" si="0">J7+K7</f>
        <v>0</v>
      </c>
      <c r="M7" s="31"/>
      <c r="N7" s="31"/>
      <c r="O7" s="31">
        <v>37.26</v>
      </c>
      <c r="P7" s="31"/>
      <c r="Q7" s="31">
        <v>715.5</v>
      </c>
      <c r="R7" s="31"/>
      <c r="S7" s="31"/>
      <c r="T7" s="32">
        <f t="shared" ref="T7:T71" si="1">F7+G7+H7+I7+L7+M7+N7+O7+P7+Q7+R7+S7</f>
        <v>752.76</v>
      </c>
      <c r="U7" s="32">
        <f>37.26+751.27</f>
        <v>788.53</v>
      </c>
      <c r="V7" s="32"/>
      <c r="W7" s="105" t="s">
        <v>473</v>
      </c>
      <c r="X7" s="31"/>
      <c r="Y7" s="31"/>
      <c r="Z7" s="31"/>
      <c r="AA7" s="31"/>
      <c r="AB7" s="31"/>
      <c r="AC7" s="26" t="s">
        <v>333</v>
      </c>
    </row>
    <row r="8" spans="1:29" ht="51.75" customHeight="1">
      <c r="A8" s="148"/>
      <c r="B8" s="151"/>
      <c r="C8" s="151"/>
      <c r="D8" s="29">
        <v>3</v>
      </c>
      <c r="E8" s="30" t="s">
        <v>259</v>
      </c>
      <c r="F8" s="31">
        <v>27288.62</v>
      </c>
      <c r="G8" s="31"/>
      <c r="H8" s="31"/>
      <c r="I8" s="31"/>
      <c r="J8" s="31"/>
      <c r="K8" s="31"/>
      <c r="L8" s="31">
        <f t="shared" si="0"/>
        <v>0</v>
      </c>
      <c r="M8" s="31"/>
      <c r="N8" s="31"/>
      <c r="O8" s="31">
        <v>11619.58</v>
      </c>
      <c r="P8" s="31"/>
      <c r="Q8" s="32">
        <v>4.5207199999999998</v>
      </c>
      <c r="R8" s="31">
        <v>450</v>
      </c>
      <c r="S8" s="31"/>
      <c r="T8" s="32">
        <f t="shared" si="1"/>
        <v>39362.720719999998</v>
      </c>
      <c r="U8" s="32">
        <f>41326.11+4.74</f>
        <v>41330.85</v>
      </c>
      <c r="V8" s="32"/>
      <c r="W8" s="71" t="s">
        <v>474</v>
      </c>
      <c r="X8" s="31"/>
      <c r="Y8" s="31"/>
      <c r="Z8" s="31"/>
      <c r="AA8" s="31"/>
      <c r="AB8" s="31"/>
      <c r="AC8" s="26" t="s">
        <v>333</v>
      </c>
    </row>
    <row r="9" spans="1:29" ht="51.75" customHeight="1">
      <c r="A9" s="148"/>
      <c r="B9" s="151"/>
      <c r="C9" s="151"/>
      <c r="D9" s="29">
        <v>4</v>
      </c>
      <c r="E9" s="30" t="s">
        <v>19</v>
      </c>
      <c r="F9" s="31"/>
      <c r="G9" s="31"/>
      <c r="H9" s="31"/>
      <c r="I9" s="31"/>
      <c r="J9" s="31"/>
      <c r="K9" s="32">
        <v>6575</v>
      </c>
      <c r="L9" s="32">
        <f t="shared" si="0"/>
        <v>6575</v>
      </c>
      <c r="M9" s="31"/>
      <c r="N9" s="31"/>
      <c r="O9" s="31"/>
      <c r="P9" s="97">
        <v>8103.34</v>
      </c>
      <c r="Q9" s="31"/>
      <c r="R9" s="31"/>
      <c r="S9" s="31"/>
      <c r="T9" s="32">
        <f t="shared" si="1"/>
        <v>14678.34</v>
      </c>
      <c r="U9" s="32">
        <v>14678.34</v>
      </c>
      <c r="V9" s="84"/>
      <c r="W9" s="71" t="s">
        <v>475</v>
      </c>
      <c r="X9" s="31"/>
      <c r="Y9" s="31"/>
      <c r="Z9" s="31"/>
      <c r="AA9" s="31"/>
      <c r="AB9" s="31"/>
      <c r="AC9" s="26" t="s">
        <v>333</v>
      </c>
    </row>
    <row r="10" spans="1:29" ht="51.75" customHeight="1">
      <c r="A10" s="148"/>
      <c r="B10" s="151"/>
      <c r="C10" s="151"/>
      <c r="D10" s="29">
        <v>5</v>
      </c>
      <c r="E10" s="30" t="s">
        <v>20</v>
      </c>
      <c r="F10" s="31"/>
      <c r="G10" s="31"/>
      <c r="H10" s="31"/>
      <c r="I10" s="31"/>
      <c r="J10" s="31"/>
      <c r="K10" s="31"/>
      <c r="L10" s="31">
        <f t="shared" si="0"/>
        <v>0</v>
      </c>
      <c r="M10" s="31"/>
      <c r="N10" s="31"/>
      <c r="O10" s="31"/>
      <c r="P10" s="34">
        <v>11287.5</v>
      </c>
      <c r="Q10" s="31"/>
      <c r="R10" s="31"/>
      <c r="S10" s="31"/>
      <c r="T10" s="42">
        <f t="shared" si="1"/>
        <v>11287.5</v>
      </c>
      <c r="U10" s="42">
        <v>12416.25</v>
      </c>
      <c r="V10" s="104"/>
      <c r="W10" s="74" t="s">
        <v>432</v>
      </c>
      <c r="X10" s="31"/>
      <c r="Y10" s="31"/>
      <c r="Z10" s="31"/>
      <c r="AA10" s="31"/>
      <c r="AB10" s="31"/>
      <c r="AC10" s="26" t="s">
        <v>333</v>
      </c>
    </row>
    <row r="11" spans="1:29" ht="51.75" customHeight="1">
      <c r="A11" s="148"/>
      <c r="B11" s="151"/>
      <c r="C11" s="151"/>
      <c r="D11" s="29">
        <v>6</v>
      </c>
      <c r="E11" s="30" t="s">
        <v>21</v>
      </c>
      <c r="F11" s="31"/>
      <c r="G11" s="31"/>
      <c r="H11" s="31"/>
      <c r="I11" s="31"/>
      <c r="J11" s="31"/>
      <c r="K11" s="31"/>
      <c r="L11" s="31">
        <f t="shared" si="0"/>
        <v>0</v>
      </c>
      <c r="M11" s="31"/>
      <c r="N11" s="31">
        <v>32.6</v>
      </c>
      <c r="O11" s="31"/>
      <c r="P11" s="31">
        <v>1002.02</v>
      </c>
      <c r="Q11" s="32">
        <v>105.27727999999999</v>
      </c>
      <c r="R11" s="31"/>
      <c r="S11" s="31"/>
      <c r="T11" s="32">
        <f t="shared" si="1"/>
        <v>1139.8972799999999</v>
      </c>
      <c r="U11" s="32">
        <f>1052.86+110</f>
        <v>1162.8599999999999</v>
      </c>
      <c r="V11" s="32"/>
      <c r="W11" s="71" t="s">
        <v>476</v>
      </c>
      <c r="X11" s="31"/>
      <c r="Y11" s="31"/>
      <c r="Z11" s="31"/>
      <c r="AA11" s="31"/>
      <c r="AB11" s="31"/>
      <c r="AC11" s="26" t="s">
        <v>333</v>
      </c>
    </row>
    <row r="12" spans="1:29" ht="51.75" customHeight="1">
      <c r="A12" s="148"/>
      <c r="B12" s="151"/>
      <c r="C12" s="151"/>
      <c r="D12" s="29">
        <v>7</v>
      </c>
      <c r="E12" s="30" t="s">
        <v>22</v>
      </c>
      <c r="F12" s="31"/>
      <c r="G12" s="31"/>
      <c r="H12" s="31"/>
      <c r="I12" s="31"/>
      <c r="J12" s="31"/>
      <c r="K12" s="31"/>
      <c r="L12" s="31">
        <f t="shared" si="0"/>
        <v>0</v>
      </c>
      <c r="M12" s="31"/>
      <c r="N12" s="31">
        <v>30</v>
      </c>
      <c r="O12" s="31"/>
      <c r="P12" s="31">
        <v>33.479999999999997</v>
      </c>
      <c r="Q12" s="31">
        <v>282.60000000000002</v>
      </c>
      <c r="R12" s="31"/>
      <c r="S12" s="31"/>
      <c r="T12" s="32">
        <f t="shared" si="1"/>
        <v>346.08000000000004</v>
      </c>
      <c r="U12" s="98">
        <v>346.08</v>
      </c>
      <c r="V12" s="84"/>
      <c r="W12" s="71" t="s">
        <v>477</v>
      </c>
      <c r="X12" s="31"/>
      <c r="Y12" s="31"/>
      <c r="Z12" s="31"/>
      <c r="AA12" s="31"/>
      <c r="AB12" s="31"/>
      <c r="AC12" s="26" t="s">
        <v>333</v>
      </c>
    </row>
    <row r="13" spans="1:29" ht="51.75" customHeight="1">
      <c r="A13" s="148"/>
      <c r="B13" s="151"/>
      <c r="C13" s="151"/>
      <c r="D13" s="29">
        <v>8</v>
      </c>
      <c r="E13" s="30" t="s">
        <v>23</v>
      </c>
      <c r="F13" s="31"/>
      <c r="G13" s="31"/>
      <c r="H13" s="31"/>
      <c r="I13" s="4">
        <v>15</v>
      </c>
      <c r="J13" s="31"/>
      <c r="K13" s="31"/>
      <c r="L13" s="31">
        <f t="shared" si="0"/>
        <v>0</v>
      </c>
      <c r="M13" s="31"/>
      <c r="N13" s="97">
        <v>92.72</v>
      </c>
      <c r="O13" s="31"/>
      <c r="P13" s="31">
        <v>54.65</v>
      </c>
      <c r="Q13" s="31"/>
      <c r="R13" s="31"/>
      <c r="S13" s="31"/>
      <c r="T13" s="32">
        <f t="shared" si="1"/>
        <v>162.37</v>
      </c>
      <c r="U13" s="32">
        <v>244.52</v>
      </c>
      <c r="V13" s="32" t="s">
        <v>374</v>
      </c>
      <c r="W13" s="71" t="s">
        <v>478</v>
      </c>
      <c r="X13" s="31"/>
      <c r="Y13" s="31"/>
      <c r="Z13" s="31"/>
      <c r="AA13" s="31"/>
      <c r="AB13" s="31"/>
      <c r="AC13" s="26" t="s">
        <v>333</v>
      </c>
    </row>
    <row r="14" spans="1:29" ht="51.75" customHeight="1">
      <c r="A14" s="148"/>
      <c r="B14" s="151"/>
      <c r="C14" s="151"/>
      <c r="D14" s="29">
        <v>9</v>
      </c>
      <c r="E14" s="33" t="s">
        <v>24</v>
      </c>
      <c r="F14" s="31"/>
      <c r="G14" s="31"/>
      <c r="H14" s="31"/>
      <c r="I14" s="31"/>
      <c r="J14" s="31"/>
      <c r="K14" s="31"/>
      <c r="L14" s="31">
        <f t="shared" si="0"/>
        <v>0</v>
      </c>
      <c r="M14" s="31"/>
      <c r="N14" s="97">
        <v>121.34</v>
      </c>
      <c r="O14" s="31"/>
      <c r="P14" s="31"/>
      <c r="Q14" s="32">
        <v>1.41</v>
      </c>
      <c r="R14" s="31"/>
      <c r="S14" s="31">
        <v>90.3</v>
      </c>
      <c r="T14" s="32">
        <f t="shared" si="1"/>
        <v>213.05</v>
      </c>
      <c r="U14" s="32">
        <f>211.64+2.95</f>
        <v>214.58999999999997</v>
      </c>
      <c r="V14" s="84"/>
      <c r="W14" s="71" t="s">
        <v>479</v>
      </c>
      <c r="X14" s="31"/>
      <c r="Y14" s="31"/>
      <c r="Z14" s="31"/>
      <c r="AA14" s="31"/>
      <c r="AB14" s="31"/>
      <c r="AC14" s="26" t="s">
        <v>333</v>
      </c>
    </row>
    <row r="15" spans="1:29" ht="346.5">
      <c r="A15" s="148"/>
      <c r="B15" s="151"/>
      <c r="C15" s="151"/>
      <c r="D15" s="29">
        <v>10</v>
      </c>
      <c r="E15" s="30" t="s">
        <v>25</v>
      </c>
      <c r="F15" s="31"/>
      <c r="G15" s="31"/>
      <c r="H15" s="31"/>
      <c r="I15" s="31">
        <v>34.299999999999997</v>
      </c>
      <c r="J15" s="31"/>
      <c r="K15" s="31">
        <v>7</v>
      </c>
      <c r="L15" s="31">
        <f t="shared" si="0"/>
        <v>7</v>
      </c>
      <c r="M15" s="31"/>
      <c r="N15" s="97">
        <v>27.53</v>
      </c>
      <c r="O15" s="31">
        <v>3</v>
      </c>
      <c r="P15" s="31">
        <v>243.03</v>
      </c>
      <c r="Q15" s="32">
        <v>63.65</v>
      </c>
      <c r="R15" s="31">
        <v>10.28</v>
      </c>
      <c r="S15" s="31"/>
      <c r="T15" s="32">
        <f t="shared" si="1"/>
        <v>388.78999999999996</v>
      </c>
      <c r="U15" s="32">
        <f>434.15+56.73</f>
        <v>490.88</v>
      </c>
      <c r="V15" s="84"/>
      <c r="W15" s="71" t="s">
        <v>480</v>
      </c>
      <c r="X15" s="31"/>
      <c r="Y15" s="31"/>
      <c r="Z15" s="31"/>
      <c r="AA15" s="31"/>
      <c r="AB15" s="31"/>
    </row>
    <row r="16" spans="1:29" ht="51.75" customHeight="1">
      <c r="A16" s="148"/>
      <c r="B16" s="151"/>
      <c r="C16" s="151"/>
      <c r="D16" s="29">
        <v>11</v>
      </c>
      <c r="E16" s="30" t="s">
        <v>27</v>
      </c>
      <c r="F16" s="31"/>
      <c r="G16" s="97">
        <v>20573</v>
      </c>
      <c r="H16" s="97">
        <v>440</v>
      </c>
      <c r="I16" s="31"/>
      <c r="J16" s="31"/>
      <c r="K16" s="31"/>
      <c r="L16" s="31">
        <f t="shared" si="0"/>
        <v>0</v>
      </c>
      <c r="M16" s="31"/>
      <c r="N16" s="31"/>
      <c r="O16" s="31"/>
      <c r="P16" s="31"/>
      <c r="Q16" s="31"/>
      <c r="R16" s="31"/>
      <c r="S16" s="31"/>
      <c r="T16" s="32">
        <f t="shared" si="1"/>
        <v>21013</v>
      </c>
      <c r="U16" s="98">
        <v>1760</v>
      </c>
      <c r="V16" s="84"/>
      <c r="W16" s="71" t="s">
        <v>487</v>
      </c>
      <c r="X16" s="31"/>
      <c r="Y16" s="31"/>
      <c r="Z16" s="31"/>
      <c r="AA16" s="31"/>
      <c r="AB16" s="31"/>
    </row>
    <row r="17" spans="1:28" ht="220.5">
      <c r="A17" s="148"/>
      <c r="B17" s="151"/>
      <c r="C17" s="151"/>
      <c r="D17" s="29">
        <v>12</v>
      </c>
      <c r="E17" s="30" t="s">
        <v>28</v>
      </c>
      <c r="F17" s="31"/>
      <c r="G17" s="31"/>
      <c r="H17" s="31"/>
      <c r="I17" s="31"/>
      <c r="J17" s="31"/>
      <c r="K17" s="31"/>
      <c r="L17" s="31">
        <f t="shared" si="0"/>
        <v>0</v>
      </c>
      <c r="M17" s="31"/>
      <c r="N17" s="97">
        <f>19.03+495.89</f>
        <v>514.91999999999996</v>
      </c>
      <c r="O17" s="31"/>
      <c r="P17" s="31"/>
      <c r="Q17" s="97">
        <v>27.38</v>
      </c>
      <c r="R17" s="31"/>
      <c r="S17" s="31"/>
      <c r="T17" s="32">
        <f t="shared" si="1"/>
        <v>542.29999999999995</v>
      </c>
      <c r="U17" s="32">
        <f>19.03+495.89</f>
        <v>514.91999999999996</v>
      </c>
      <c r="V17" s="84"/>
      <c r="W17" s="71" t="s">
        <v>500</v>
      </c>
      <c r="X17" s="31"/>
      <c r="Y17" s="31"/>
      <c r="Z17" s="31"/>
      <c r="AA17" s="31"/>
      <c r="AB17" s="31"/>
    </row>
    <row r="18" spans="1:28" ht="51.75" customHeight="1">
      <c r="A18" s="148"/>
      <c r="B18" s="151"/>
      <c r="C18" s="151"/>
      <c r="D18" s="29">
        <v>13</v>
      </c>
      <c r="E18" s="33" t="s">
        <v>162</v>
      </c>
      <c r="F18" s="31"/>
      <c r="G18" s="31"/>
      <c r="H18" s="31"/>
      <c r="I18" s="31">
        <v>509</v>
      </c>
      <c r="J18" s="31"/>
      <c r="K18" s="31"/>
      <c r="L18" s="31">
        <f t="shared" si="0"/>
        <v>0</v>
      </c>
      <c r="M18" s="31"/>
      <c r="N18" s="31">
        <v>4.37</v>
      </c>
      <c r="O18" s="31"/>
      <c r="P18" s="31"/>
      <c r="Q18" s="31"/>
      <c r="R18" s="31"/>
      <c r="S18" s="31"/>
      <c r="T18" s="32">
        <f t="shared" si="1"/>
        <v>513.37</v>
      </c>
      <c r="U18" s="32">
        <v>0</v>
      </c>
      <c r="V18" s="84"/>
      <c r="W18" s="71" t="s">
        <v>481</v>
      </c>
      <c r="X18" s="31"/>
      <c r="Y18" s="31"/>
      <c r="Z18" s="31"/>
      <c r="AA18" s="31"/>
      <c r="AB18" s="31"/>
    </row>
    <row r="19" spans="1:28" ht="51.75" customHeight="1">
      <c r="A19" s="148"/>
      <c r="B19" s="151"/>
      <c r="C19" s="151"/>
      <c r="D19" s="29">
        <v>14</v>
      </c>
      <c r="E19" s="30" t="s">
        <v>29</v>
      </c>
      <c r="F19" s="31"/>
      <c r="G19" s="31"/>
      <c r="H19" s="31"/>
      <c r="I19" s="31">
        <v>400</v>
      </c>
      <c r="J19" s="31"/>
      <c r="K19" s="31">
        <v>0</v>
      </c>
      <c r="L19" s="31">
        <f t="shared" si="0"/>
        <v>0</v>
      </c>
      <c r="M19" s="31"/>
      <c r="N19" s="31"/>
      <c r="O19" s="31"/>
      <c r="P19" s="31"/>
      <c r="Q19" s="32">
        <v>185.28852000000001</v>
      </c>
      <c r="R19" s="31"/>
      <c r="S19" s="31"/>
      <c r="T19" s="32">
        <f t="shared" si="1"/>
        <v>585.28852000000006</v>
      </c>
      <c r="U19" s="32">
        <f>400+194.55</f>
        <v>594.54999999999995</v>
      </c>
      <c r="V19" s="84"/>
      <c r="W19" s="71" t="s">
        <v>482</v>
      </c>
      <c r="X19" s="31"/>
      <c r="Y19" s="31"/>
      <c r="Z19" s="31"/>
      <c r="AA19" s="31"/>
      <c r="AB19" s="31"/>
    </row>
    <row r="20" spans="1:28" ht="271.5" customHeight="1">
      <c r="A20" s="148"/>
      <c r="B20" s="151"/>
      <c r="C20" s="151"/>
      <c r="D20" s="29">
        <v>15</v>
      </c>
      <c r="E20" s="30" t="s">
        <v>30</v>
      </c>
      <c r="F20" s="31"/>
      <c r="G20" s="31">
        <v>1427.38</v>
      </c>
      <c r="H20" s="31"/>
      <c r="I20" s="97">
        <v>70</v>
      </c>
      <c r="J20" s="31"/>
      <c r="K20" s="31"/>
      <c r="L20" s="31">
        <f t="shared" si="0"/>
        <v>0</v>
      </c>
      <c r="M20" s="31"/>
      <c r="N20" s="31">
        <v>31.46</v>
      </c>
      <c r="O20" s="31"/>
      <c r="P20" s="34">
        <f>42.02+316.32</f>
        <v>358.34</v>
      </c>
      <c r="Q20" s="31"/>
      <c r="R20" s="31"/>
      <c r="S20" s="31"/>
      <c r="T20" s="32">
        <f t="shared" si="1"/>
        <v>1887.18</v>
      </c>
      <c r="U20" s="32">
        <f>46+1628.25</f>
        <v>1674.25</v>
      </c>
      <c r="V20" s="84"/>
      <c r="W20" s="71" t="s">
        <v>483</v>
      </c>
      <c r="X20" s="31"/>
      <c r="Y20" s="31"/>
      <c r="Z20" s="31"/>
      <c r="AA20" s="31"/>
      <c r="AB20" s="31"/>
    </row>
    <row r="21" spans="1:28" ht="255.75" customHeight="1">
      <c r="A21" s="148"/>
      <c r="B21" s="151"/>
      <c r="C21" s="151"/>
      <c r="D21" s="29">
        <v>16</v>
      </c>
      <c r="E21" s="30" t="s">
        <v>31</v>
      </c>
      <c r="F21" s="31"/>
      <c r="G21" s="31"/>
      <c r="H21" s="31"/>
      <c r="I21" s="31"/>
      <c r="J21" s="31"/>
      <c r="K21" s="31"/>
      <c r="L21" s="31">
        <f t="shared" si="0"/>
        <v>0</v>
      </c>
      <c r="M21" s="31"/>
      <c r="N21" s="31"/>
      <c r="O21" s="31"/>
      <c r="P21" s="97">
        <v>196.71</v>
      </c>
      <c r="Q21" s="97">
        <f>30.24+364.31</f>
        <v>394.55</v>
      </c>
      <c r="R21" s="31"/>
      <c r="S21" s="31"/>
      <c r="T21" s="32">
        <f t="shared" si="1"/>
        <v>591.26</v>
      </c>
      <c r="U21" s="98">
        <f>226.95+364.31</f>
        <v>591.26</v>
      </c>
      <c r="V21" s="84"/>
      <c r="W21" s="71" t="s">
        <v>501</v>
      </c>
      <c r="X21" s="31"/>
      <c r="Y21" s="31"/>
      <c r="Z21" s="31"/>
      <c r="AA21" s="31"/>
      <c r="AB21" s="31"/>
    </row>
    <row r="22" spans="1:28" ht="307.5" customHeight="1">
      <c r="A22" s="148"/>
      <c r="B22" s="151"/>
      <c r="C22" s="151"/>
      <c r="D22" s="29">
        <v>17</v>
      </c>
      <c r="E22" s="30" t="s">
        <v>32</v>
      </c>
      <c r="F22" s="31"/>
      <c r="G22" s="31"/>
      <c r="H22" s="31"/>
      <c r="I22" s="31">
        <v>114.98</v>
      </c>
      <c r="J22" s="31"/>
      <c r="K22" s="31">
        <f>5+14.4+150</f>
        <v>169.4</v>
      </c>
      <c r="L22" s="31">
        <f t="shared" si="0"/>
        <v>169.4</v>
      </c>
      <c r="M22" s="31"/>
      <c r="N22" s="31">
        <v>31.08</v>
      </c>
      <c r="O22" s="31"/>
      <c r="P22" s="31"/>
      <c r="Q22" s="31"/>
      <c r="R22" s="31"/>
      <c r="S22" s="31"/>
      <c r="T22" s="32">
        <f t="shared" si="1"/>
        <v>315.45999999999998</v>
      </c>
      <c r="U22" s="32">
        <v>330.09</v>
      </c>
      <c r="V22" s="84"/>
      <c r="W22" s="71" t="s">
        <v>484</v>
      </c>
      <c r="X22" s="31"/>
      <c r="Y22" s="31"/>
      <c r="Z22" s="31"/>
      <c r="AA22" s="31"/>
      <c r="AB22" s="31"/>
    </row>
    <row r="23" spans="1:28" ht="37.5" customHeight="1">
      <c r="A23" s="148"/>
      <c r="B23" s="151"/>
      <c r="C23" s="151"/>
      <c r="D23" s="29">
        <v>18</v>
      </c>
      <c r="E23" s="30" t="s">
        <v>182</v>
      </c>
      <c r="F23" s="31"/>
      <c r="G23" s="31"/>
      <c r="H23" s="31"/>
      <c r="I23" s="31"/>
      <c r="J23" s="31"/>
      <c r="K23" s="31"/>
      <c r="L23" s="31">
        <f t="shared" si="0"/>
        <v>0</v>
      </c>
      <c r="M23" s="31"/>
      <c r="N23" s="31"/>
      <c r="O23" s="31"/>
      <c r="P23" s="31"/>
      <c r="Q23" s="31"/>
      <c r="R23" s="31"/>
      <c r="S23" s="31"/>
      <c r="T23" s="32">
        <f t="shared" si="1"/>
        <v>0</v>
      </c>
      <c r="U23" s="32"/>
      <c r="V23" s="84"/>
      <c r="W23" s="71"/>
      <c r="X23" s="31"/>
      <c r="Y23" s="31"/>
      <c r="Z23" s="31"/>
      <c r="AA23" s="31"/>
      <c r="AB23" s="31"/>
    </row>
    <row r="24" spans="1:28" s="37" customFormat="1" ht="63">
      <c r="A24" s="148"/>
      <c r="B24" s="150" t="s">
        <v>246</v>
      </c>
      <c r="C24" s="152" t="s">
        <v>26</v>
      </c>
      <c r="D24" s="35">
        <v>19</v>
      </c>
      <c r="E24" s="36" t="s">
        <v>26</v>
      </c>
      <c r="F24" s="34"/>
      <c r="G24" s="34"/>
      <c r="H24" s="34"/>
      <c r="I24" s="34"/>
      <c r="J24" s="34"/>
      <c r="K24" s="34"/>
      <c r="L24" s="34">
        <f t="shared" si="0"/>
        <v>0</v>
      </c>
      <c r="M24" s="34"/>
      <c r="N24" s="34">
        <v>5</v>
      </c>
      <c r="O24" s="34"/>
      <c r="P24" s="34"/>
      <c r="Q24" s="34">
        <v>45.45</v>
      </c>
      <c r="R24" s="34">
        <v>20.53</v>
      </c>
      <c r="S24" s="34"/>
      <c r="T24" s="42">
        <f t="shared" si="1"/>
        <v>70.98</v>
      </c>
      <c r="U24" s="42">
        <f>70.98</f>
        <v>70.98</v>
      </c>
      <c r="V24" s="84"/>
      <c r="W24" s="74" t="s">
        <v>411</v>
      </c>
      <c r="X24" s="34"/>
      <c r="Y24" s="34"/>
      <c r="Z24" s="34"/>
      <c r="AA24" s="34"/>
      <c r="AB24" s="34"/>
    </row>
    <row r="25" spans="1:28" ht="63">
      <c r="A25" s="148"/>
      <c r="B25" s="151"/>
      <c r="C25" s="152"/>
      <c r="D25" s="29">
        <v>20</v>
      </c>
      <c r="E25" s="38" t="s">
        <v>163</v>
      </c>
      <c r="F25" s="31"/>
      <c r="G25" s="31"/>
      <c r="H25" s="31"/>
      <c r="I25" s="31"/>
      <c r="J25" s="31"/>
      <c r="K25" s="31"/>
      <c r="L25" s="31">
        <f t="shared" si="0"/>
        <v>0</v>
      </c>
      <c r="M25" s="31"/>
      <c r="N25" s="31">
        <v>2.96</v>
      </c>
      <c r="O25" s="31"/>
      <c r="P25" s="31"/>
      <c r="Q25" s="31"/>
      <c r="R25" s="31"/>
      <c r="S25" s="31"/>
      <c r="T25" s="32">
        <f t="shared" si="1"/>
        <v>2.96</v>
      </c>
      <c r="U25" s="32">
        <v>2.96</v>
      </c>
      <c r="V25" s="84"/>
      <c r="W25" s="71" t="s">
        <v>387</v>
      </c>
      <c r="X25" s="31"/>
      <c r="Y25" s="31"/>
      <c r="Z25" s="31"/>
      <c r="AA25" s="31"/>
      <c r="AB25" s="31"/>
    </row>
    <row r="26" spans="1:28" ht="230.25" customHeight="1">
      <c r="A26" s="148"/>
      <c r="B26" s="150" t="s">
        <v>38</v>
      </c>
      <c r="C26" s="150" t="s">
        <v>33</v>
      </c>
      <c r="D26" s="29">
        <v>21</v>
      </c>
      <c r="E26" s="36" t="s">
        <v>34</v>
      </c>
      <c r="F26" s="31"/>
      <c r="G26" s="31"/>
      <c r="H26" s="31"/>
      <c r="I26" s="31">
        <v>61.76</v>
      </c>
      <c r="J26" s="31"/>
      <c r="K26" s="31">
        <v>203.87899999999999</v>
      </c>
      <c r="L26" s="31">
        <f t="shared" si="0"/>
        <v>203.87899999999999</v>
      </c>
      <c r="M26" s="31"/>
      <c r="N26" s="31">
        <v>28.46</v>
      </c>
      <c r="O26" s="31"/>
      <c r="P26" s="97">
        <v>3295.8500000000004</v>
      </c>
      <c r="Q26" s="32">
        <v>447.95</v>
      </c>
      <c r="R26" s="31">
        <v>11.398</v>
      </c>
      <c r="S26" s="31"/>
      <c r="T26" s="32">
        <f t="shared" si="1"/>
        <v>4049.2970000000005</v>
      </c>
      <c r="U26" s="32">
        <v>4051.4900000000002</v>
      </c>
      <c r="V26" s="84"/>
      <c r="W26" s="102" t="s">
        <v>502</v>
      </c>
      <c r="X26" s="31"/>
      <c r="Y26" s="31"/>
      <c r="Z26" s="31"/>
      <c r="AA26" s="31"/>
      <c r="AB26" s="31"/>
    </row>
    <row r="27" spans="1:28" ht="364.5" customHeight="1">
      <c r="A27" s="148"/>
      <c r="B27" s="150"/>
      <c r="C27" s="150"/>
      <c r="D27" s="29">
        <v>22</v>
      </c>
      <c r="E27" s="36" t="s">
        <v>184</v>
      </c>
      <c r="F27" s="31"/>
      <c r="G27" s="31">
        <v>38.450000000000003</v>
      </c>
      <c r="H27" s="31"/>
      <c r="I27" s="31">
        <v>246.31</v>
      </c>
      <c r="J27" s="31"/>
      <c r="K27" s="31"/>
      <c r="L27" s="31">
        <f t="shared" si="0"/>
        <v>0</v>
      </c>
      <c r="M27" s="31"/>
      <c r="N27" s="31">
        <v>35.520000000000003</v>
      </c>
      <c r="O27" s="31"/>
      <c r="P27" s="31">
        <v>412.74</v>
      </c>
      <c r="Q27" s="32">
        <v>18.184290000000001</v>
      </c>
      <c r="R27" s="31"/>
      <c r="S27" s="31"/>
      <c r="T27" s="32">
        <f t="shared" si="1"/>
        <v>751.20429000000001</v>
      </c>
      <c r="U27" s="32">
        <v>800.94</v>
      </c>
      <c r="V27" s="84"/>
      <c r="W27" s="102" t="s">
        <v>542</v>
      </c>
      <c r="X27" s="31"/>
      <c r="Y27" s="31"/>
      <c r="Z27" s="31"/>
      <c r="AA27" s="31"/>
      <c r="AB27" s="31"/>
    </row>
    <row r="28" spans="1:28" ht="78.75">
      <c r="A28" s="148"/>
      <c r="B28" s="150"/>
      <c r="C28" s="150"/>
      <c r="D28" s="29">
        <v>23</v>
      </c>
      <c r="E28" s="33" t="s">
        <v>147</v>
      </c>
      <c r="F28" s="31"/>
      <c r="G28" s="31"/>
      <c r="H28" s="31"/>
      <c r="I28" s="31"/>
      <c r="J28" s="31"/>
      <c r="K28" s="31">
        <v>302.28000000000003</v>
      </c>
      <c r="L28" s="31">
        <f t="shared" si="0"/>
        <v>302.28000000000003</v>
      </c>
      <c r="M28" s="31"/>
      <c r="N28" s="31">
        <v>688.13580000000002</v>
      </c>
      <c r="O28" s="31">
        <v>4486.1400000000003</v>
      </c>
      <c r="P28" s="31"/>
      <c r="Q28" s="32">
        <v>176.65397999999999</v>
      </c>
      <c r="R28" s="31">
        <v>112.74</v>
      </c>
      <c r="S28" s="31"/>
      <c r="T28" s="32">
        <f t="shared" si="1"/>
        <v>5765.9497799999999</v>
      </c>
      <c r="U28" s="32">
        <f>5980.546506+185.48</f>
        <v>6166.0265059999992</v>
      </c>
      <c r="V28" s="84"/>
      <c r="W28" s="85" t="s">
        <v>394</v>
      </c>
      <c r="X28" s="31"/>
      <c r="Y28" s="31"/>
      <c r="Z28" s="31"/>
      <c r="AA28" s="31"/>
      <c r="AB28" s="31"/>
    </row>
    <row r="29" spans="1:28" ht="189">
      <c r="A29" s="148"/>
      <c r="B29" s="150"/>
      <c r="C29" s="150"/>
      <c r="D29" s="29">
        <v>24</v>
      </c>
      <c r="E29" s="33" t="s">
        <v>292</v>
      </c>
      <c r="F29" s="31"/>
      <c r="G29" s="97">
        <f>444.15+993.99</f>
        <v>1438.1399999999999</v>
      </c>
      <c r="H29" s="101">
        <f>198</f>
        <v>198</v>
      </c>
      <c r="I29" s="31">
        <v>637.57999999999993</v>
      </c>
      <c r="J29" s="31"/>
      <c r="K29" s="31"/>
      <c r="L29" s="31">
        <f t="shared" si="0"/>
        <v>0</v>
      </c>
      <c r="M29" s="31"/>
      <c r="N29" s="32">
        <v>230.2825</v>
      </c>
      <c r="O29" s="31">
        <v>178</v>
      </c>
      <c r="P29" s="31">
        <v>849.72</v>
      </c>
      <c r="Q29" s="98">
        <v>35.06</v>
      </c>
      <c r="R29" s="31">
        <v>6.68</v>
      </c>
      <c r="S29" s="31"/>
      <c r="T29" s="32">
        <f t="shared" si="1"/>
        <v>3573.4624999999996</v>
      </c>
      <c r="U29" s="32">
        <f>3310.85+25.6</f>
        <v>3336.45</v>
      </c>
      <c r="V29" s="84"/>
      <c r="W29" s="85" t="s">
        <v>503</v>
      </c>
      <c r="X29" s="31"/>
      <c r="Y29" s="31"/>
      <c r="Z29" s="31"/>
      <c r="AA29" s="31"/>
      <c r="AB29" s="31"/>
    </row>
    <row r="30" spans="1:28" ht="39" customHeight="1">
      <c r="A30" s="148"/>
      <c r="B30" s="150"/>
      <c r="C30" s="150"/>
      <c r="D30" s="29">
        <v>25</v>
      </c>
      <c r="E30" s="33" t="s">
        <v>35</v>
      </c>
      <c r="F30" s="31"/>
      <c r="G30" s="31"/>
      <c r="H30" s="31"/>
      <c r="I30" s="31"/>
      <c r="J30" s="31"/>
      <c r="K30" s="31"/>
      <c r="L30" s="31">
        <f t="shared" si="0"/>
        <v>0</v>
      </c>
      <c r="M30" s="31"/>
      <c r="N30" s="32">
        <v>8.4919999920000002</v>
      </c>
      <c r="O30" s="31"/>
      <c r="P30" s="31"/>
      <c r="Q30" s="32">
        <v>15.776579999999999</v>
      </c>
      <c r="R30" s="34"/>
      <c r="S30" s="32">
        <v>31.57808</v>
      </c>
      <c r="T30" s="32">
        <f t="shared" si="1"/>
        <v>55.846659991999999</v>
      </c>
      <c r="U30" s="32">
        <f>42.87498559144+16.56</f>
        <v>59.434985591439997</v>
      </c>
      <c r="V30" s="84"/>
      <c r="W30" s="102" t="s">
        <v>504</v>
      </c>
      <c r="X30" s="31"/>
      <c r="Y30" s="31"/>
      <c r="Z30" s="31"/>
      <c r="AA30" s="31"/>
      <c r="AB30" s="31"/>
    </row>
    <row r="31" spans="1:28" ht="330.75">
      <c r="A31" s="148"/>
      <c r="B31" s="150"/>
      <c r="C31" s="150"/>
      <c r="D31" s="29">
        <v>26</v>
      </c>
      <c r="E31" s="33" t="s">
        <v>36</v>
      </c>
      <c r="F31" s="31"/>
      <c r="G31" s="31"/>
      <c r="H31" s="31"/>
      <c r="I31" s="31">
        <v>90.04</v>
      </c>
      <c r="J31" s="31"/>
      <c r="K31" s="31"/>
      <c r="L31" s="31">
        <f t="shared" si="0"/>
        <v>0</v>
      </c>
      <c r="M31" s="31"/>
      <c r="N31" s="31">
        <v>245.58999999999997</v>
      </c>
      <c r="O31" s="31"/>
      <c r="P31" s="31"/>
      <c r="Q31" s="32">
        <v>55.942519999999995</v>
      </c>
      <c r="R31" s="97">
        <v>5.4</v>
      </c>
      <c r="S31" s="31"/>
      <c r="T31" s="32">
        <f t="shared" si="1"/>
        <v>396.97251999999997</v>
      </c>
      <c r="U31" s="32">
        <f>359.1241+58.73+5.4</f>
        <v>423.25409999999999</v>
      </c>
      <c r="V31" s="84"/>
      <c r="W31" s="71" t="s">
        <v>486</v>
      </c>
      <c r="X31" s="31"/>
      <c r="Y31" s="31"/>
      <c r="Z31" s="31"/>
      <c r="AA31" s="31"/>
      <c r="AB31" s="31"/>
    </row>
    <row r="32" spans="1:28">
      <c r="A32" s="148"/>
      <c r="B32" s="150"/>
      <c r="C32" s="150"/>
      <c r="D32" s="29">
        <v>27</v>
      </c>
      <c r="E32" s="33" t="s">
        <v>291</v>
      </c>
      <c r="F32" s="31"/>
      <c r="G32" s="31"/>
      <c r="H32" s="31"/>
      <c r="I32" s="31"/>
      <c r="J32" s="31"/>
      <c r="K32" s="31"/>
      <c r="L32" s="31">
        <f t="shared" si="0"/>
        <v>0</v>
      </c>
      <c r="M32" s="31"/>
      <c r="N32" s="31"/>
      <c r="O32" s="31"/>
      <c r="P32" s="31"/>
      <c r="Q32" s="31"/>
      <c r="R32" s="31"/>
      <c r="S32" s="31"/>
      <c r="T32" s="32">
        <f t="shared" si="1"/>
        <v>0</v>
      </c>
      <c r="U32" s="32">
        <v>0</v>
      </c>
      <c r="V32" s="84"/>
      <c r="W32" s="71"/>
      <c r="X32" s="31"/>
      <c r="Y32" s="31"/>
      <c r="Z32" s="31"/>
      <c r="AA32" s="31"/>
      <c r="AB32" s="31"/>
    </row>
    <row r="33" spans="1:28" ht="47.25">
      <c r="A33" s="148"/>
      <c r="B33" s="150"/>
      <c r="C33" s="150"/>
      <c r="D33" s="29">
        <v>28</v>
      </c>
      <c r="E33" s="30" t="s">
        <v>19</v>
      </c>
      <c r="F33" s="31"/>
      <c r="G33" s="31"/>
      <c r="H33" s="31"/>
      <c r="I33" s="31"/>
      <c r="J33" s="31"/>
      <c r="K33" s="31">
        <v>306.59999999999997</v>
      </c>
      <c r="L33" s="31">
        <f t="shared" si="0"/>
        <v>306.59999999999997</v>
      </c>
      <c r="M33" s="31"/>
      <c r="N33" s="31"/>
      <c r="O33" s="31"/>
      <c r="P33" s="31"/>
      <c r="Q33" s="31"/>
      <c r="R33" s="31"/>
      <c r="S33" s="31"/>
      <c r="T33" s="32">
        <f t="shared" si="1"/>
        <v>306.59999999999997</v>
      </c>
      <c r="U33" s="32">
        <v>328.06199999999995</v>
      </c>
      <c r="V33" s="84"/>
      <c r="W33" s="71" t="s">
        <v>395</v>
      </c>
      <c r="X33" s="31"/>
      <c r="Y33" s="31"/>
      <c r="Z33" s="31"/>
      <c r="AA33" s="31"/>
      <c r="AB33" s="31"/>
    </row>
    <row r="34" spans="1:28" ht="47.25">
      <c r="A34" s="148"/>
      <c r="B34" s="150"/>
      <c r="C34" s="150"/>
      <c r="D34" s="29">
        <v>29</v>
      </c>
      <c r="E34" s="30" t="s">
        <v>20</v>
      </c>
      <c r="F34" s="31"/>
      <c r="G34" s="31"/>
      <c r="H34" s="31"/>
      <c r="I34" s="31"/>
      <c r="J34" s="31"/>
      <c r="K34" s="31"/>
      <c r="L34" s="31">
        <f t="shared" si="0"/>
        <v>0</v>
      </c>
      <c r="M34" s="31"/>
      <c r="N34" s="31"/>
      <c r="O34" s="31"/>
      <c r="P34" s="31"/>
      <c r="Q34" s="31"/>
      <c r="R34" s="31"/>
      <c r="S34" s="31"/>
      <c r="T34" s="32">
        <f t="shared" si="1"/>
        <v>0</v>
      </c>
      <c r="U34" s="32"/>
      <c r="V34" s="84"/>
      <c r="W34" s="71"/>
      <c r="X34" s="31"/>
      <c r="Y34" s="31"/>
      <c r="Z34" s="31"/>
      <c r="AA34" s="31"/>
      <c r="AB34" s="31"/>
    </row>
    <row r="35" spans="1:28" ht="151.5" customHeight="1">
      <c r="A35" s="148"/>
      <c r="B35" s="150"/>
      <c r="C35" s="150"/>
      <c r="D35" s="29">
        <v>30</v>
      </c>
      <c r="E35" s="30" t="s">
        <v>37</v>
      </c>
      <c r="F35" s="31"/>
      <c r="G35" s="31"/>
      <c r="H35" s="31"/>
      <c r="I35" s="31"/>
      <c r="J35" s="31"/>
      <c r="K35" s="31"/>
      <c r="L35" s="31">
        <f t="shared" si="0"/>
        <v>0</v>
      </c>
      <c r="M35" s="31"/>
      <c r="N35" s="31">
        <v>34.229999999999997</v>
      </c>
      <c r="O35" s="31"/>
      <c r="P35" s="31"/>
      <c r="Q35" s="97">
        <v>13.39</v>
      </c>
      <c r="R35" s="31">
        <v>0</v>
      </c>
      <c r="S35" s="31">
        <v>13.22</v>
      </c>
      <c r="T35" s="32">
        <f t="shared" si="1"/>
        <v>60.839999999999996</v>
      </c>
      <c r="U35" s="32">
        <f>14.1454+34.23+35.81</f>
        <v>84.185400000000001</v>
      </c>
      <c r="V35" s="84"/>
      <c r="W35" s="71" t="s">
        <v>505</v>
      </c>
      <c r="X35" s="31"/>
      <c r="Y35" s="31"/>
      <c r="Z35" s="31"/>
      <c r="AA35" s="31"/>
      <c r="AB35" s="31"/>
    </row>
    <row r="36" spans="1:28" ht="38.25" customHeight="1">
      <c r="A36" s="148"/>
      <c r="B36" s="150"/>
      <c r="C36" s="150"/>
      <c r="D36" s="29">
        <v>31</v>
      </c>
      <c r="E36" s="30" t="s">
        <v>182</v>
      </c>
      <c r="F36" s="31"/>
      <c r="G36" s="31"/>
      <c r="H36" s="31"/>
      <c r="I36" s="31"/>
      <c r="J36" s="31"/>
      <c r="K36" s="31"/>
      <c r="L36" s="31">
        <f t="shared" si="0"/>
        <v>0</v>
      </c>
      <c r="M36" s="31"/>
      <c r="N36" s="31"/>
      <c r="O36" s="31"/>
      <c r="P36" s="31"/>
      <c r="Q36" s="31"/>
      <c r="R36" s="31"/>
      <c r="S36" s="31"/>
      <c r="T36" s="32">
        <f t="shared" si="1"/>
        <v>0</v>
      </c>
      <c r="U36" s="32"/>
      <c r="V36" s="84"/>
      <c r="W36" s="71"/>
      <c r="X36" s="31"/>
      <c r="Y36" s="31"/>
      <c r="Z36" s="31"/>
      <c r="AA36" s="31"/>
      <c r="AB36" s="31"/>
    </row>
    <row r="37" spans="1:28" ht="110.25">
      <c r="A37" s="148"/>
      <c r="B37" s="142" t="s">
        <v>40</v>
      </c>
      <c r="C37" s="142" t="s">
        <v>39</v>
      </c>
      <c r="D37" s="29">
        <v>32</v>
      </c>
      <c r="E37" s="39" t="s">
        <v>349</v>
      </c>
      <c r="F37" s="31"/>
      <c r="G37" s="31"/>
      <c r="H37" s="31"/>
      <c r="I37" s="31">
        <v>112.88</v>
      </c>
      <c r="J37" s="31"/>
      <c r="K37" s="31"/>
      <c r="L37" s="31"/>
      <c r="M37" s="31">
        <v>127.37</v>
      </c>
      <c r="N37" s="31">
        <v>123.21</v>
      </c>
      <c r="O37" s="32">
        <v>8982.7070000000003</v>
      </c>
      <c r="P37" s="98">
        <v>5262.43</v>
      </c>
      <c r="Q37" s="98">
        <v>1098.24</v>
      </c>
      <c r="R37" s="31">
        <v>236.52</v>
      </c>
      <c r="S37" s="97">
        <v>285.22000000000003</v>
      </c>
      <c r="T37" s="32">
        <f t="shared" si="1"/>
        <v>16228.576999999999</v>
      </c>
      <c r="U37" s="32">
        <v>17978.09</v>
      </c>
      <c r="V37" s="84"/>
      <c r="W37" s="71" t="s">
        <v>506</v>
      </c>
      <c r="X37" s="31"/>
      <c r="Y37" s="31"/>
      <c r="Z37" s="31"/>
      <c r="AA37" s="31"/>
      <c r="AB37" s="31"/>
    </row>
    <row r="38" spans="1:28" ht="63">
      <c r="A38" s="148"/>
      <c r="B38" s="143"/>
      <c r="C38" s="143"/>
      <c r="D38" s="29">
        <v>33</v>
      </c>
      <c r="E38" s="39" t="s">
        <v>288</v>
      </c>
      <c r="F38" s="40"/>
      <c r="G38" s="40"/>
      <c r="H38" s="40"/>
      <c r="I38" s="40"/>
      <c r="J38" s="40"/>
      <c r="K38" s="40"/>
      <c r="L38" s="40"/>
      <c r="M38" s="40"/>
      <c r="N38" s="40"/>
      <c r="O38" s="40"/>
      <c r="P38" s="40"/>
      <c r="Q38" s="40"/>
      <c r="R38" s="40"/>
      <c r="S38" s="40"/>
      <c r="T38" s="32">
        <v>4871.6000000000004</v>
      </c>
      <c r="U38" s="32">
        <v>5358.76</v>
      </c>
      <c r="V38" s="84"/>
      <c r="W38" s="71" t="s">
        <v>485</v>
      </c>
      <c r="X38" s="31"/>
      <c r="Y38" s="31"/>
      <c r="Z38" s="31"/>
      <c r="AA38" s="31"/>
      <c r="AB38" s="31"/>
    </row>
    <row r="39" spans="1:28" ht="36.75" customHeight="1">
      <c r="A39" s="148"/>
      <c r="B39" s="144"/>
      <c r="C39" s="144"/>
      <c r="D39" s="29">
        <v>34</v>
      </c>
      <c r="E39" s="29" t="s">
        <v>429</v>
      </c>
      <c r="F39" s="34"/>
      <c r="G39" s="34"/>
      <c r="H39" s="34"/>
      <c r="I39" s="34">
        <v>149.41999999999999</v>
      </c>
      <c r="J39" s="34"/>
      <c r="K39" s="34"/>
      <c r="L39" s="34"/>
      <c r="M39" s="34"/>
      <c r="N39" s="34">
        <v>32.6</v>
      </c>
      <c r="O39" s="34"/>
      <c r="P39" s="98">
        <v>253.02</v>
      </c>
      <c r="Q39" s="34"/>
      <c r="R39" s="34">
        <v>53.52</v>
      </c>
      <c r="S39" s="34"/>
      <c r="T39" s="32">
        <f t="shared" si="1"/>
        <v>488.55999999999995</v>
      </c>
      <c r="U39" s="98">
        <v>529.30499999999995</v>
      </c>
      <c r="V39" s="84"/>
      <c r="W39" s="102" t="s">
        <v>430</v>
      </c>
      <c r="X39" s="31"/>
      <c r="Y39" s="31"/>
      <c r="Z39" s="31"/>
      <c r="AA39" s="31"/>
      <c r="AB39" s="31"/>
    </row>
    <row r="40" spans="1:28" ht="197.25" customHeight="1">
      <c r="A40" s="148"/>
      <c r="B40" s="150" t="s">
        <v>46</v>
      </c>
      <c r="C40" s="150" t="s">
        <v>41</v>
      </c>
      <c r="D40" s="29">
        <v>35</v>
      </c>
      <c r="E40" s="30" t="s">
        <v>42</v>
      </c>
      <c r="F40" s="31"/>
      <c r="G40" s="31"/>
      <c r="H40" s="31"/>
      <c r="I40" s="31"/>
      <c r="J40" s="31"/>
      <c r="K40" s="31"/>
      <c r="L40" s="31">
        <f t="shared" ref="L40:L103" si="2">J40+K40</f>
        <v>0</v>
      </c>
      <c r="M40" s="31"/>
      <c r="N40" s="31">
        <v>12.18</v>
      </c>
      <c r="O40" s="31"/>
      <c r="P40" s="31">
        <v>33.96</v>
      </c>
      <c r="Q40" s="31">
        <v>16.559999999999999</v>
      </c>
      <c r="R40" s="31">
        <v>17.329999999999998</v>
      </c>
      <c r="S40" s="31"/>
      <c r="T40" s="32">
        <f t="shared" si="1"/>
        <v>80.03</v>
      </c>
      <c r="U40" s="32">
        <f>55.55+12.17</f>
        <v>67.72</v>
      </c>
      <c r="V40" s="84"/>
      <c r="W40" s="71" t="s">
        <v>507</v>
      </c>
      <c r="X40" s="31"/>
      <c r="Y40" s="31"/>
      <c r="Z40" s="31"/>
      <c r="AA40" s="31"/>
      <c r="AB40" s="31"/>
    </row>
    <row r="41" spans="1:28" ht="110.25">
      <c r="A41" s="148"/>
      <c r="B41" s="151"/>
      <c r="C41" s="151"/>
      <c r="D41" s="29">
        <v>36</v>
      </c>
      <c r="E41" s="33" t="s">
        <v>43</v>
      </c>
      <c r="F41" s="31"/>
      <c r="G41" s="31"/>
      <c r="H41" s="31"/>
      <c r="I41" s="31"/>
      <c r="J41" s="31"/>
      <c r="K41" s="31">
        <v>574.23</v>
      </c>
      <c r="L41" s="31">
        <f t="shared" si="2"/>
        <v>574.23</v>
      </c>
      <c r="M41" s="31"/>
      <c r="N41" s="31"/>
      <c r="O41" s="31"/>
      <c r="P41" s="31"/>
      <c r="Q41" s="31"/>
      <c r="R41" s="31"/>
      <c r="S41" s="31"/>
      <c r="T41" s="32">
        <f t="shared" si="1"/>
        <v>574.23</v>
      </c>
      <c r="U41" s="32">
        <v>574.23</v>
      </c>
      <c r="V41" s="84"/>
      <c r="W41" s="71" t="s">
        <v>384</v>
      </c>
      <c r="X41" s="31"/>
      <c r="Y41" s="31"/>
      <c r="Z41" s="31"/>
      <c r="AA41" s="31"/>
      <c r="AB41" s="31"/>
    </row>
    <row r="42" spans="1:28" ht="78.75">
      <c r="A42" s="148"/>
      <c r="B42" s="151"/>
      <c r="C42" s="151"/>
      <c r="D42" s="29">
        <v>37</v>
      </c>
      <c r="E42" s="33" t="s">
        <v>260</v>
      </c>
      <c r="F42" s="31"/>
      <c r="G42" s="31"/>
      <c r="H42" s="31"/>
      <c r="I42" s="31"/>
      <c r="J42" s="31"/>
      <c r="K42" s="31">
        <v>106.5</v>
      </c>
      <c r="L42" s="31">
        <f t="shared" si="2"/>
        <v>106.5</v>
      </c>
      <c r="M42" s="31"/>
      <c r="N42" s="31"/>
      <c r="O42" s="31"/>
      <c r="P42" s="31"/>
      <c r="Q42" s="31"/>
      <c r="R42" s="31"/>
      <c r="S42" s="31"/>
      <c r="T42" s="98">
        <f t="shared" si="1"/>
        <v>106.5</v>
      </c>
      <c r="U42" s="32"/>
      <c r="V42" s="84"/>
      <c r="W42" s="126" t="s">
        <v>539</v>
      </c>
      <c r="X42" s="31"/>
      <c r="Y42" s="31"/>
      <c r="Z42" s="31"/>
      <c r="AA42" s="31"/>
      <c r="AB42" s="31"/>
    </row>
    <row r="43" spans="1:28" ht="299.25">
      <c r="A43" s="148"/>
      <c r="B43" s="151"/>
      <c r="C43" s="151"/>
      <c r="D43" s="29">
        <v>38</v>
      </c>
      <c r="E43" s="30" t="s">
        <v>44</v>
      </c>
      <c r="F43" s="31"/>
      <c r="G43" s="31"/>
      <c r="H43" s="31"/>
      <c r="I43" s="31"/>
      <c r="J43" s="31"/>
      <c r="K43" s="31"/>
      <c r="L43" s="31">
        <f t="shared" si="2"/>
        <v>0</v>
      </c>
      <c r="M43" s="31"/>
      <c r="N43" s="31">
        <v>577.15</v>
      </c>
      <c r="O43" s="31">
        <v>143.88999999999999</v>
      </c>
      <c r="P43" s="31">
        <v>749.35</v>
      </c>
      <c r="Q43" s="32">
        <v>80.432270000000003</v>
      </c>
      <c r="R43" s="31"/>
      <c r="S43" s="31"/>
      <c r="T43" s="32">
        <f t="shared" si="1"/>
        <v>1550.8222699999999</v>
      </c>
      <c r="U43" s="32">
        <f>1531.34+84.45</f>
        <v>1615.79</v>
      </c>
      <c r="V43" s="84"/>
      <c r="W43" s="102" t="s">
        <v>508</v>
      </c>
      <c r="X43" s="31"/>
      <c r="Y43" s="31"/>
      <c r="Z43" s="31"/>
      <c r="AA43" s="31"/>
      <c r="AB43" s="31"/>
    </row>
    <row r="44" spans="1:28" ht="236.25">
      <c r="A44" s="148"/>
      <c r="B44" s="151"/>
      <c r="C44" s="151"/>
      <c r="D44" s="29">
        <v>39</v>
      </c>
      <c r="E44" s="33" t="s">
        <v>185</v>
      </c>
      <c r="F44" s="41"/>
      <c r="G44" s="41"/>
      <c r="H44" s="41"/>
      <c r="I44" s="34"/>
      <c r="J44" s="34"/>
      <c r="K44" s="34"/>
      <c r="L44" s="31">
        <f t="shared" si="2"/>
        <v>0</v>
      </c>
      <c r="M44" s="34"/>
      <c r="N44" s="34">
        <v>0</v>
      </c>
      <c r="O44" s="41"/>
      <c r="P44" s="41">
        <v>1377.64</v>
      </c>
      <c r="Q44" s="87">
        <v>0</v>
      </c>
      <c r="R44" s="41">
        <v>0</v>
      </c>
      <c r="S44" s="41"/>
      <c r="T44" s="32">
        <f t="shared" si="1"/>
        <v>1377.64</v>
      </c>
      <c r="U44" s="87">
        <v>0</v>
      </c>
      <c r="V44" s="84"/>
      <c r="W44" s="127" t="s">
        <v>540</v>
      </c>
      <c r="X44" s="41"/>
      <c r="Y44" s="41"/>
      <c r="Z44" s="41"/>
      <c r="AA44" s="31"/>
      <c r="AB44" s="31"/>
    </row>
    <row r="45" spans="1:28" ht="31.5">
      <c r="A45" s="148"/>
      <c r="B45" s="151"/>
      <c r="C45" s="151"/>
      <c r="D45" s="29">
        <v>40</v>
      </c>
      <c r="E45" s="30" t="s">
        <v>45</v>
      </c>
      <c r="F45" s="41"/>
      <c r="G45" s="41"/>
      <c r="H45" s="41"/>
      <c r="I45" s="34"/>
      <c r="J45" s="34"/>
      <c r="K45" s="34"/>
      <c r="L45" s="31">
        <f t="shared" si="2"/>
        <v>0</v>
      </c>
      <c r="M45" s="34"/>
      <c r="N45" s="34"/>
      <c r="O45" s="41"/>
      <c r="P45" s="41"/>
      <c r="Q45" s="41">
        <v>0</v>
      </c>
      <c r="R45" s="41"/>
      <c r="S45" s="41"/>
      <c r="T45" s="32">
        <f t="shared" si="1"/>
        <v>0</v>
      </c>
      <c r="U45" s="87">
        <v>0</v>
      </c>
      <c r="V45" s="84"/>
      <c r="W45" s="75"/>
      <c r="X45" s="41"/>
      <c r="Y45" s="41"/>
      <c r="Z45" s="41"/>
      <c r="AA45" s="31"/>
      <c r="AB45" s="31"/>
    </row>
    <row r="46" spans="1:28" ht="31.5">
      <c r="A46" s="148"/>
      <c r="B46" s="151"/>
      <c r="C46" s="151"/>
      <c r="D46" s="29">
        <v>41</v>
      </c>
      <c r="E46" s="30" t="s">
        <v>182</v>
      </c>
      <c r="F46" s="41"/>
      <c r="G46" s="41"/>
      <c r="H46" s="41"/>
      <c r="I46" s="34"/>
      <c r="J46" s="34"/>
      <c r="K46" s="34"/>
      <c r="L46" s="31">
        <f t="shared" si="2"/>
        <v>0</v>
      </c>
      <c r="M46" s="34"/>
      <c r="N46" s="34"/>
      <c r="O46" s="41"/>
      <c r="P46" s="41"/>
      <c r="Q46" s="41"/>
      <c r="R46" s="41"/>
      <c r="S46" s="41"/>
      <c r="T46" s="32">
        <f t="shared" si="1"/>
        <v>0</v>
      </c>
      <c r="U46" s="87"/>
      <c r="V46" s="84"/>
      <c r="W46" s="75"/>
      <c r="X46" s="41"/>
      <c r="Y46" s="41"/>
      <c r="Z46" s="41"/>
      <c r="AA46" s="31"/>
      <c r="AB46" s="31"/>
    </row>
    <row r="47" spans="1:28" ht="126">
      <c r="A47" s="148"/>
      <c r="B47" s="150" t="s">
        <v>53</v>
      </c>
      <c r="C47" s="150" t="s">
        <v>47</v>
      </c>
      <c r="D47" s="95">
        <v>42</v>
      </c>
      <c r="E47" s="30" t="s">
        <v>261</v>
      </c>
      <c r="F47" s="41">
        <v>13050</v>
      </c>
      <c r="G47" s="41"/>
      <c r="H47" s="41"/>
      <c r="I47" s="34">
        <v>171.5</v>
      </c>
      <c r="J47" s="34"/>
      <c r="K47" s="34"/>
      <c r="L47" s="31">
        <f t="shared" si="2"/>
        <v>0</v>
      </c>
      <c r="M47" s="34"/>
      <c r="N47" s="34">
        <v>38.869999999999997</v>
      </c>
      <c r="O47" s="41"/>
      <c r="P47" s="41">
        <v>813.2</v>
      </c>
      <c r="Q47" s="41">
        <v>34.590000000000003</v>
      </c>
      <c r="R47" s="41"/>
      <c r="S47" s="41"/>
      <c r="T47" s="32">
        <f t="shared" si="1"/>
        <v>14108.160000000002</v>
      </c>
      <c r="U47" s="87">
        <f>14108.1575</f>
        <v>14108.157499999999</v>
      </c>
      <c r="V47" s="84"/>
      <c r="W47" s="75" t="s">
        <v>509</v>
      </c>
      <c r="X47" s="41"/>
      <c r="Y47" s="41"/>
      <c r="Z47" s="41"/>
      <c r="AA47" s="31"/>
      <c r="AB47" s="31"/>
    </row>
    <row r="48" spans="1:28" ht="78.75">
      <c r="A48" s="148"/>
      <c r="B48" s="150"/>
      <c r="C48" s="150"/>
      <c r="D48" s="95">
        <v>43</v>
      </c>
      <c r="E48" s="30" t="s">
        <v>262</v>
      </c>
      <c r="F48" s="34">
        <v>152.5</v>
      </c>
      <c r="G48" s="34"/>
      <c r="H48" s="34"/>
      <c r="I48" s="34">
        <v>3.44</v>
      </c>
      <c r="J48" s="34"/>
      <c r="K48" s="34"/>
      <c r="L48" s="31">
        <f t="shared" si="2"/>
        <v>0</v>
      </c>
      <c r="M48" s="34"/>
      <c r="N48" s="34">
        <v>11.469999999999999</v>
      </c>
      <c r="O48" s="34"/>
      <c r="P48" s="34">
        <v>30.8</v>
      </c>
      <c r="Q48" s="34">
        <v>1.29</v>
      </c>
      <c r="R48" s="34"/>
      <c r="S48" s="34"/>
      <c r="T48" s="32">
        <f t="shared" si="1"/>
        <v>199.5</v>
      </c>
      <c r="U48" s="42">
        <f>199.74</f>
        <v>199.74</v>
      </c>
      <c r="V48" s="84"/>
      <c r="W48" s="74" t="s">
        <v>388</v>
      </c>
      <c r="X48" s="34"/>
      <c r="Y48" s="34"/>
      <c r="Z48" s="34"/>
      <c r="AA48" s="34"/>
      <c r="AB48" s="34"/>
    </row>
    <row r="49" spans="1:28" ht="110.25">
      <c r="A49" s="148"/>
      <c r="B49" s="150"/>
      <c r="C49" s="150"/>
      <c r="D49" s="95">
        <v>44</v>
      </c>
      <c r="E49" s="30" t="s">
        <v>48</v>
      </c>
      <c r="F49" s="31">
        <v>598</v>
      </c>
      <c r="G49" s="31"/>
      <c r="H49" s="31"/>
      <c r="I49" s="34">
        <v>79.98</v>
      </c>
      <c r="J49" s="34"/>
      <c r="K49" s="34"/>
      <c r="L49" s="31">
        <f t="shared" si="2"/>
        <v>0</v>
      </c>
      <c r="M49" s="34"/>
      <c r="N49" s="34">
        <v>189.93</v>
      </c>
      <c r="O49" s="31">
        <v>281.25</v>
      </c>
      <c r="P49" s="31">
        <v>0</v>
      </c>
      <c r="Q49" s="31">
        <v>16.100000000000001</v>
      </c>
      <c r="R49" s="31"/>
      <c r="S49" s="31"/>
      <c r="T49" s="32">
        <f t="shared" si="1"/>
        <v>1165.26</v>
      </c>
      <c r="U49" s="32">
        <v>1239.51</v>
      </c>
      <c r="V49" s="84"/>
      <c r="W49" s="71" t="s">
        <v>452</v>
      </c>
      <c r="X49" s="31"/>
      <c r="Y49" s="31"/>
      <c r="Z49" s="31"/>
      <c r="AA49" s="31"/>
      <c r="AB49" s="31"/>
    </row>
    <row r="50" spans="1:28" ht="63">
      <c r="A50" s="148"/>
      <c r="B50" s="150"/>
      <c r="C50" s="150"/>
      <c r="D50" s="95">
        <v>45</v>
      </c>
      <c r="E50" s="30" t="s">
        <v>49</v>
      </c>
      <c r="F50" s="31">
        <v>300</v>
      </c>
      <c r="G50" s="31"/>
      <c r="H50" s="31"/>
      <c r="I50" s="34"/>
      <c r="J50" s="34"/>
      <c r="K50" s="34"/>
      <c r="L50" s="31">
        <f t="shared" si="2"/>
        <v>0</v>
      </c>
      <c r="M50" s="34"/>
      <c r="N50" s="34">
        <v>12.35</v>
      </c>
      <c r="O50" s="31">
        <v>300</v>
      </c>
      <c r="P50" s="31"/>
      <c r="Q50" s="31">
        <v>28.75</v>
      </c>
      <c r="R50" s="31"/>
      <c r="S50" s="31"/>
      <c r="T50" s="32">
        <f t="shared" si="1"/>
        <v>641.1</v>
      </c>
      <c r="U50" s="32">
        <f>691.1</f>
        <v>691.1</v>
      </c>
      <c r="V50" s="84"/>
      <c r="W50" s="71" t="s">
        <v>389</v>
      </c>
      <c r="X50" s="31"/>
      <c r="Y50" s="31"/>
      <c r="Z50" s="31"/>
      <c r="AA50" s="31"/>
      <c r="AB50" s="31"/>
    </row>
    <row r="51" spans="1:28" ht="110.25">
      <c r="A51" s="148"/>
      <c r="B51" s="150"/>
      <c r="C51" s="150"/>
      <c r="D51" s="95">
        <v>46</v>
      </c>
      <c r="E51" s="30" t="s">
        <v>50</v>
      </c>
      <c r="F51" s="31"/>
      <c r="G51" s="31"/>
      <c r="H51" s="31"/>
      <c r="I51" s="34"/>
      <c r="J51" s="34"/>
      <c r="K51" s="34">
        <v>473.32</v>
      </c>
      <c r="L51" s="31">
        <f t="shared" si="2"/>
        <v>473.32</v>
      </c>
      <c r="M51" s="34"/>
      <c r="N51" s="34"/>
      <c r="O51" s="31">
        <v>481.23</v>
      </c>
      <c r="P51" s="31">
        <v>1932.91</v>
      </c>
      <c r="Q51" s="31">
        <v>208</v>
      </c>
      <c r="R51" s="31"/>
      <c r="S51" s="31"/>
      <c r="T51" s="32">
        <f t="shared" si="1"/>
        <v>3095.46</v>
      </c>
      <c r="U51" s="32">
        <v>3105.91</v>
      </c>
      <c r="V51" s="92"/>
      <c r="W51" s="71" t="s">
        <v>453</v>
      </c>
      <c r="X51" s="31"/>
      <c r="Y51" s="31"/>
      <c r="Z51" s="31"/>
      <c r="AA51" s="31"/>
      <c r="AB51" s="31"/>
    </row>
    <row r="52" spans="1:28" ht="31.5">
      <c r="A52" s="148"/>
      <c r="B52" s="150"/>
      <c r="C52" s="150"/>
      <c r="D52" s="95">
        <v>47</v>
      </c>
      <c r="E52" s="30" t="s">
        <v>336</v>
      </c>
      <c r="F52" s="31">
        <v>31.75</v>
      </c>
      <c r="G52" s="31"/>
      <c r="H52" s="31"/>
      <c r="I52" s="34"/>
      <c r="J52" s="34"/>
      <c r="K52" s="34"/>
      <c r="L52" s="31">
        <f t="shared" si="2"/>
        <v>0</v>
      </c>
      <c r="M52" s="34"/>
      <c r="N52" s="34"/>
      <c r="O52" s="31"/>
      <c r="P52" s="31"/>
      <c r="Q52" s="31">
        <v>1.65</v>
      </c>
      <c r="R52" s="31"/>
      <c r="S52" s="31"/>
      <c r="T52" s="32">
        <f t="shared" si="1"/>
        <v>33.4</v>
      </c>
      <c r="U52" s="32">
        <f>33.4</f>
        <v>33.4</v>
      </c>
      <c r="V52" s="84"/>
      <c r="W52" s="71" t="s">
        <v>390</v>
      </c>
      <c r="X52" s="31"/>
      <c r="Y52" s="31"/>
      <c r="Z52" s="31"/>
      <c r="AA52" s="31"/>
      <c r="AB52" s="31"/>
    </row>
    <row r="53" spans="1:28" ht="31.5">
      <c r="A53" s="148"/>
      <c r="B53" s="150"/>
      <c r="C53" s="150"/>
      <c r="D53" s="95">
        <v>48</v>
      </c>
      <c r="E53" s="30" t="s">
        <v>51</v>
      </c>
      <c r="F53" s="31"/>
      <c r="G53" s="31"/>
      <c r="H53" s="31"/>
      <c r="I53" s="34"/>
      <c r="J53" s="34"/>
      <c r="K53" s="34"/>
      <c r="L53" s="31">
        <f t="shared" si="2"/>
        <v>0</v>
      </c>
      <c r="M53" s="34"/>
      <c r="N53" s="34">
        <v>0</v>
      </c>
      <c r="O53" s="31"/>
      <c r="P53" s="31">
        <v>20</v>
      </c>
      <c r="Q53" s="31">
        <v>0.3</v>
      </c>
      <c r="R53" s="31"/>
      <c r="S53" s="31"/>
      <c r="T53" s="32">
        <f t="shared" si="1"/>
        <v>20.3</v>
      </c>
      <c r="U53" s="32">
        <f>20.3</f>
        <v>20.3</v>
      </c>
      <c r="V53" s="84"/>
      <c r="W53" s="71" t="s">
        <v>391</v>
      </c>
      <c r="X53" s="31"/>
      <c r="Y53" s="31"/>
      <c r="Z53" s="31"/>
      <c r="AA53" s="31"/>
      <c r="AB53" s="31"/>
    </row>
    <row r="54" spans="1:28" ht="47.25">
      <c r="A54" s="148"/>
      <c r="B54" s="150"/>
      <c r="C54" s="150"/>
      <c r="D54" s="95">
        <v>49</v>
      </c>
      <c r="E54" s="30" t="s">
        <v>340</v>
      </c>
      <c r="F54" s="31"/>
      <c r="G54" s="31"/>
      <c r="H54" s="31"/>
      <c r="I54" s="34"/>
      <c r="J54" s="34"/>
      <c r="K54" s="34"/>
      <c r="L54" s="31">
        <f t="shared" si="2"/>
        <v>0</v>
      </c>
      <c r="M54" s="34"/>
      <c r="N54" s="34"/>
      <c r="O54" s="31"/>
      <c r="P54" s="31"/>
      <c r="Q54" s="31">
        <v>148</v>
      </c>
      <c r="R54" s="31">
        <v>4.5599999999999996</v>
      </c>
      <c r="S54" s="31"/>
      <c r="T54" s="32">
        <f t="shared" si="1"/>
        <v>152.56</v>
      </c>
      <c r="U54" s="32">
        <f>152.56</f>
        <v>152.56</v>
      </c>
      <c r="V54" s="84"/>
      <c r="W54" s="71" t="s">
        <v>392</v>
      </c>
      <c r="X54" s="31"/>
      <c r="Y54" s="31"/>
      <c r="Z54" s="31"/>
      <c r="AA54" s="31"/>
      <c r="AB54" s="31"/>
    </row>
    <row r="55" spans="1:28" ht="189">
      <c r="A55" s="148"/>
      <c r="B55" s="150"/>
      <c r="C55" s="150"/>
      <c r="D55" s="95">
        <v>50</v>
      </c>
      <c r="E55" s="30" t="s">
        <v>52</v>
      </c>
      <c r="F55" s="31"/>
      <c r="G55" s="31"/>
      <c r="H55" s="31"/>
      <c r="I55" s="34">
        <v>267</v>
      </c>
      <c r="J55" s="34"/>
      <c r="K55" s="34">
        <v>16.2</v>
      </c>
      <c r="L55" s="31">
        <f t="shared" si="2"/>
        <v>16.2</v>
      </c>
      <c r="M55" s="34"/>
      <c r="N55" s="34">
        <v>343.96999999999997</v>
      </c>
      <c r="O55" s="31">
        <v>550</v>
      </c>
      <c r="P55" s="31">
        <v>154.16999999999999</v>
      </c>
      <c r="Q55" s="31">
        <v>156.96</v>
      </c>
      <c r="R55" s="31">
        <v>12.3</v>
      </c>
      <c r="S55" s="31"/>
      <c r="T55" s="32">
        <f t="shared" si="1"/>
        <v>1500.6000000000001</v>
      </c>
      <c r="U55" s="32">
        <f>1460.64</f>
        <v>1460.64</v>
      </c>
      <c r="V55" s="84"/>
      <c r="W55" s="71" t="s">
        <v>424</v>
      </c>
      <c r="X55" s="31"/>
      <c r="Y55" s="31"/>
      <c r="Z55" s="31"/>
      <c r="AA55" s="31"/>
      <c r="AB55" s="31"/>
    </row>
    <row r="56" spans="1:28" ht="72" customHeight="1">
      <c r="A56" s="148"/>
      <c r="B56" s="150"/>
      <c r="C56" s="150"/>
      <c r="D56" s="95">
        <v>51</v>
      </c>
      <c r="E56" s="30" t="s">
        <v>182</v>
      </c>
      <c r="F56" s="31"/>
      <c r="G56" s="31"/>
      <c r="H56" s="31"/>
      <c r="I56" s="34"/>
      <c r="J56" s="34"/>
      <c r="K56" s="34"/>
      <c r="L56" s="31">
        <f t="shared" si="2"/>
        <v>0</v>
      </c>
      <c r="M56" s="34"/>
      <c r="N56" s="34"/>
      <c r="O56" s="31"/>
      <c r="P56" s="31">
        <v>926.99</v>
      </c>
      <c r="Q56" s="31"/>
      <c r="R56" s="31"/>
      <c r="S56" s="31"/>
      <c r="T56" s="32">
        <f t="shared" si="1"/>
        <v>926.99</v>
      </c>
      <c r="U56" s="32">
        <v>1561.3000000000002</v>
      </c>
      <c r="V56" s="31" t="s">
        <v>393</v>
      </c>
      <c r="W56" s="71" t="s">
        <v>454</v>
      </c>
      <c r="X56" s="31"/>
      <c r="Y56" s="31"/>
      <c r="Z56" s="31"/>
      <c r="AA56" s="31"/>
      <c r="AB56" s="31"/>
    </row>
    <row r="57" spans="1:28" ht="409.5" customHeight="1">
      <c r="A57" s="148"/>
      <c r="B57" s="150" t="s">
        <v>60</v>
      </c>
      <c r="C57" s="150" t="s">
        <v>54</v>
      </c>
      <c r="D57" s="95">
        <v>52</v>
      </c>
      <c r="E57" s="30" t="s">
        <v>263</v>
      </c>
      <c r="F57" s="31"/>
      <c r="G57" s="31"/>
      <c r="H57" s="31"/>
      <c r="I57" s="34">
        <v>1886.37</v>
      </c>
      <c r="J57" s="34"/>
      <c r="K57" s="34">
        <v>2940.61</v>
      </c>
      <c r="L57" s="31">
        <f t="shared" si="2"/>
        <v>2940.61</v>
      </c>
      <c r="M57" s="34"/>
      <c r="N57" s="34">
        <v>197.78</v>
      </c>
      <c r="O57" s="31">
        <v>1584.34</v>
      </c>
      <c r="P57" s="31">
        <v>42.34</v>
      </c>
      <c r="Q57" s="32">
        <v>441.79750999999999</v>
      </c>
      <c r="R57" s="31"/>
      <c r="S57" s="31">
        <v>16.29</v>
      </c>
      <c r="T57" s="32">
        <f t="shared" si="1"/>
        <v>7109.5275099999999</v>
      </c>
      <c r="U57" s="32">
        <v>7465</v>
      </c>
      <c r="V57" s="84"/>
      <c r="W57" s="71" t="s">
        <v>510</v>
      </c>
      <c r="X57" s="31"/>
      <c r="Y57" s="31"/>
      <c r="Z57" s="31"/>
      <c r="AA57" s="31"/>
      <c r="AB57" s="31"/>
    </row>
    <row r="58" spans="1:28" ht="63">
      <c r="A58" s="148"/>
      <c r="B58" s="151"/>
      <c r="C58" s="151"/>
      <c r="D58" s="95">
        <v>53</v>
      </c>
      <c r="E58" s="30" t="s">
        <v>55</v>
      </c>
      <c r="F58" s="31"/>
      <c r="G58" s="31"/>
      <c r="H58" s="31"/>
      <c r="I58" s="34"/>
      <c r="J58" s="34"/>
      <c r="K58" s="42">
        <v>2171.5442671999999</v>
      </c>
      <c r="L58" s="31">
        <f t="shared" si="2"/>
        <v>2171.5442671999999</v>
      </c>
      <c r="M58" s="34"/>
      <c r="N58" s="34">
        <v>32.04</v>
      </c>
      <c r="O58" s="31">
        <v>176.03800000000001</v>
      </c>
      <c r="P58" s="31"/>
      <c r="Q58" s="32">
        <v>210.20577</v>
      </c>
      <c r="R58" s="31"/>
      <c r="S58" s="31"/>
      <c r="T58" s="32">
        <f t="shared" si="1"/>
        <v>2589.8280371999999</v>
      </c>
      <c r="U58" s="32">
        <f>2546.195825904+220.72</f>
        <v>2766.9158259039996</v>
      </c>
      <c r="V58" s="84"/>
      <c r="W58" s="71" t="s">
        <v>511</v>
      </c>
      <c r="X58" s="31"/>
      <c r="Y58" s="31"/>
      <c r="Z58" s="31"/>
      <c r="AA58" s="31"/>
      <c r="AB58" s="31"/>
    </row>
    <row r="59" spans="1:28" ht="110.25">
      <c r="A59" s="148"/>
      <c r="B59" s="151"/>
      <c r="C59" s="151"/>
      <c r="D59" s="95">
        <v>54</v>
      </c>
      <c r="E59" s="30" t="s">
        <v>56</v>
      </c>
      <c r="F59" s="31"/>
      <c r="G59" s="31"/>
      <c r="H59" s="31">
        <v>60</v>
      </c>
      <c r="I59" s="34">
        <v>110.9</v>
      </c>
      <c r="J59" s="34"/>
      <c r="K59" s="42"/>
      <c r="L59" s="31">
        <f t="shared" si="2"/>
        <v>0</v>
      </c>
      <c r="M59" s="34"/>
      <c r="N59" s="34">
        <v>26.72</v>
      </c>
      <c r="O59" s="31">
        <v>37.683</v>
      </c>
      <c r="P59" s="31">
        <v>826.38120000000004</v>
      </c>
      <c r="Q59" s="32">
        <v>10.096819999999999</v>
      </c>
      <c r="R59" s="31">
        <v>0</v>
      </c>
      <c r="S59" s="31"/>
      <c r="T59" s="32">
        <f t="shared" si="1"/>
        <v>1071.7810200000001</v>
      </c>
      <c r="U59" s="108">
        <f>11136+10.6</f>
        <v>11146.6</v>
      </c>
      <c r="V59" s="84"/>
      <c r="W59" s="71" t="s">
        <v>512</v>
      </c>
      <c r="X59" s="31"/>
      <c r="Y59" s="31"/>
      <c r="Z59" s="31"/>
      <c r="AA59" s="31"/>
      <c r="AB59" s="31"/>
    </row>
    <row r="60" spans="1:28" ht="63">
      <c r="A60" s="148"/>
      <c r="B60" s="151"/>
      <c r="C60" s="151"/>
      <c r="D60" s="95">
        <v>55</v>
      </c>
      <c r="E60" s="30" t="s">
        <v>57</v>
      </c>
      <c r="F60" s="31"/>
      <c r="G60" s="31"/>
      <c r="H60" s="31"/>
      <c r="I60" s="34"/>
      <c r="J60" s="34"/>
      <c r="K60" s="42">
        <v>484</v>
      </c>
      <c r="L60" s="31">
        <f t="shared" si="2"/>
        <v>484</v>
      </c>
      <c r="M60" s="34"/>
      <c r="N60" s="34"/>
      <c r="O60" s="31"/>
      <c r="P60" s="31"/>
      <c r="Q60" s="31"/>
      <c r="R60" s="31"/>
      <c r="S60" s="31"/>
      <c r="T60" s="32">
        <f t="shared" si="1"/>
        <v>484</v>
      </c>
      <c r="U60" s="32">
        <v>532.4</v>
      </c>
      <c r="V60" s="84"/>
      <c r="W60" s="71" t="s">
        <v>382</v>
      </c>
      <c r="X60" s="31"/>
      <c r="Y60" s="31"/>
      <c r="Z60" s="31"/>
      <c r="AA60" s="31"/>
      <c r="AB60" s="31"/>
    </row>
    <row r="61" spans="1:28" ht="126">
      <c r="A61" s="148"/>
      <c r="B61" s="151"/>
      <c r="C61" s="151"/>
      <c r="D61" s="95">
        <v>56</v>
      </c>
      <c r="E61" s="30" t="s">
        <v>58</v>
      </c>
      <c r="F61" s="31"/>
      <c r="G61" s="31"/>
      <c r="H61" s="31"/>
      <c r="I61" s="34"/>
      <c r="J61" s="34"/>
      <c r="K61" s="42"/>
      <c r="L61" s="31">
        <f t="shared" si="2"/>
        <v>0</v>
      </c>
      <c r="M61" s="34"/>
      <c r="N61" s="34">
        <v>75.73</v>
      </c>
      <c r="O61" s="31">
        <v>352.07600000000002</v>
      </c>
      <c r="P61" s="31"/>
      <c r="Q61" s="32">
        <v>89.242549999999994</v>
      </c>
      <c r="R61" s="31"/>
      <c r="S61" s="31">
        <v>3.8000000000000003</v>
      </c>
      <c r="T61" s="32">
        <f t="shared" si="1"/>
        <v>520.84854999999993</v>
      </c>
      <c r="U61" s="32">
        <f>461.81842+93.7</f>
        <v>555.51841999999999</v>
      </c>
      <c r="V61" s="84"/>
      <c r="W61" s="71" t="s">
        <v>513</v>
      </c>
      <c r="X61" s="31"/>
      <c r="Y61" s="31"/>
      <c r="Z61" s="31"/>
      <c r="AA61" s="31"/>
      <c r="AB61" s="31"/>
    </row>
    <row r="62" spans="1:28" ht="31.5">
      <c r="A62" s="148"/>
      <c r="B62" s="151"/>
      <c r="C62" s="151"/>
      <c r="D62" s="95">
        <v>57</v>
      </c>
      <c r="E62" s="30" t="s">
        <v>59</v>
      </c>
      <c r="F62" s="31"/>
      <c r="G62" s="31"/>
      <c r="H62" s="31"/>
      <c r="I62" s="34"/>
      <c r="J62" s="34"/>
      <c r="K62" s="42"/>
      <c r="L62" s="31">
        <f t="shared" si="2"/>
        <v>0</v>
      </c>
      <c r="M62" s="34"/>
      <c r="N62" s="34"/>
      <c r="O62" s="31"/>
      <c r="P62" s="31"/>
      <c r="Q62" s="32">
        <v>29.32</v>
      </c>
      <c r="R62" s="31"/>
      <c r="S62" s="31"/>
      <c r="T62" s="32">
        <f t="shared" si="1"/>
        <v>29.32</v>
      </c>
      <c r="U62" s="32">
        <v>30.79</v>
      </c>
      <c r="V62" s="84"/>
      <c r="W62" s="71" t="s">
        <v>514</v>
      </c>
      <c r="X62" s="31"/>
      <c r="Y62" s="31"/>
      <c r="Z62" s="31"/>
      <c r="AA62" s="31"/>
      <c r="AB62" s="31"/>
    </row>
    <row r="63" spans="1:28" ht="63">
      <c r="A63" s="148"/>
      <c r="B63" s="151"/>
      <c r="C63" s="151"/>
      <c r="D63" s="95">
        <v>58</v>
      </c>
      <c r="E63" s="33" t="s">
        <v>264</v>
      </c>
      <c r="F63" s="31"/>
      <c r="G63" s="31"/>
      <c r="H63" s="31"/>
      <c r="I63" s="31"/>
      <c r="J63" s="31"/>
      <c r="K63" s="32">
        <v>524.80877097600001</v>
      </c>
      <c r="L63" s="31">
        <f t="shared" si="2"/>
        <v>524.80877097600001</v>
      </c>
      <c r="M63" s="31"/>
      <c r="N63" s="31">
        <v>26.254999999999999</v>
      </c>
      <c r="O63" s="31">
        <v>88.019000000000005</v>
      </c>
      <c r="P63" s="31"/>
      <c r="Q63" s="32">
        <v>100.6606</v>
      </c>
      <c r="R63" s="31"/>
      <c r="S63" s="31"/>
      <c r="T63" s="32">
        <f t="shared" si="1"/>
        <v>739.74337097600005</v>
      </c>
      <c r="U63" s="32">
        <f>683.81856494432+105.69</f>
        <v>789.50856494431991</v>
      </c>
      <c r="V63" s="84"/>
      <c r="W63" s="71" t="s">
        <v>515</v>
      </c>
      <c r="X63" s="31"/>
      <c r="Y63" s="31"/>
      <c r="Z63" s="31"/>
      <c r="AA63" s="31"/>
      <c r="AB63" s="31"/>
    </row>
    <row r="64" spans="1:28">
      <c r="A64" s="148"/>
      <c r="B64" s="151"/>
      <c r="C64" s="151"/>
      <c r="D64" s="95">
        <v>59</v>
      </c>
      <c r="E64" s="30" t="s">
        <v>343</v>
      </c>
      <c r="F64" s="31"/>
      <c r="G64" s="31"/>
      <c r="H64" s="31"/>
      <c r="I64" s="31"/>
      <c r="J64" s="31"/>
      <c r="K64" s="31"/>
      <c r="L64" s="31">
        <f t="shared" si="2"/>
        <v>0</v>
      </c>
      <c r="M64" s="31"/>
      <c r="N64" s="31"/>
      <c r="O64" s="31"/>
      <c r="P64" s="31"/>
      <c r="Q64" s="32">
        <v>17.624369999999999</v>
      </c>
      <c r="R64" s="31"/>
      <c r="S64" s="31"/>
      <c r="T64" s="32">
        <f t="shared" si="1"/>
        <v>17.624369999999999</v>
      </c>
      <c r="U64" s="32"/>
      <c r="V64" s="84"/>
      <c r="W64" s="71" t="s">
        <v>517</v>
      </c>
      <c r="X64" s="31"/>
      <c r="Y64" s="31"/>
      <c r="Z64" s="31"/>
      <c r="AA64" s="31"/>
      <c r="AB64" s="31"/>
    </row>
    <row r="65" spans="1:28" ht="31.5">
      <c r="A65" s="148"/>
      <c r="B65" s="151"/>
      <c r="C65" s="151"/>
      <c r="D65" s="95">
        <v>60</v>
      </c>
      <c r="E65" s="36" t="s">
        <v>344</v>
      </c>
      <c r="F65" s="31"/>
      <c r="G65" s="31"/>
      <c r="H65" s="31"/>
      <c r="I65" s="31"/>
      <c r="J65" s="31"/>
      <c r="K65" s="31"/>
      <c r="L65" s="31">
        <f t="shared" si="2"/>
        <v>0</v>
      </c>
      <c r="M65" s="31"/>
      <c r="N65" s="31"/>
      <c r="O65" s="31"/>
      <c r="P65" s="31"/>
      <c r="Q65" s="31">
        <v>17.62</v>
      </c>
      <c r="R65" s="31"/>
      <c r="S65" s="31"/>
      <c r="T65" s="32">
        <f t="shared" si="1"/>
        <v>17.62</v>
      </c>
      <c r="U65" s="32">
        <v>18.510000000000002</v>
      </c>
      <c r="V65" s="84"/>
      <c r="W65" s="71" t="s">
        <v>516</v>
      </c>
      <c r="X65" s="31"/>
      <c r="Y65" s="31"/>
      <c r="Z65" s="31"/>
      <c r="AA65" s="31"/>
      <c r="AB65" s="31"/>
    </row>
    <row r="66" spans="1:28" ht="31.5">
      <c r="A66" s="148"/>
      <c r="B66" s="151"/>
      <c r="C66" s="151"/>
      <c r="D66" s="95">
        <v>61</v>
      </c>
      <c r="E66" s="30" t="s">
        <v>182</v>
      </c>
      <c r="F66" s="31"/>
      <c r="G66" s="31"/>
      <c r="H66" s="31"/>
      <c r="I66" s="31"/>
      <c r="J66" s="31"/>
      <c r="K66" s="31"/>
      <c r="L66" s="31">
        <f t="shared" si="2"/>
        <v>0</v>
      </c>
      <c r="M66" s="31"/>
      <c r="N66" s="31"/>
      <c r="O66" s="31"/>
      <c r="P66" s="31"/>
      <c r="Q66" s="31"/>
      <c r="R66" s="31"/>
      <c r="S66" s="31"/>
      <c r="T66" s="32">
        <f t="shared" si="1"/>
        <v>0</v>
      </c>
      <c r="U66" s="32"/>
      <c r="V66" s="84"/>
      <c r="W66" s="71"/>
      <c r="X66" s="31"/>
      <c r="Y66" s="31"/>
      <c r="Z66" s="31"/>
      <c r="AA66" s="31"/>
      <c r="AB66" s="31"/>
    </row>
    <row r="67" spans="1:28" ht="144" customHeight="1">
      <c r="A67" s="148"/>
      <c r="B67" s="43" t="s">
        <v>247</v>
      </c>
      <c r="C67" s="44" t="s">
        <v>61</v>
      </c>
      <c r="D67" s="95">
        <v>62</v>
      </c>
      <c r="E67" s="38" t="s">
        <v>232</v>
      </c>
      <c r="F67" s="31"/>
      <c r="G67" s="31"/>
      <c r="H67" s="34">
        <v>0</v>
      </c>
      <c r="I67" s="34">
        <v>2.5</v>
      </c>
      <c r="J67" s="31"/>
      <c r="K67" s="31"/>
      <c r="L67" s="31">
        <f t="shared" si="2"/>
        <v>0</v>
      </c>
      <c r="M67" s="31">
        <v>31.87</v>
      </c>
      <c r="N67" s="31">
        <v>0</v>
      </c>
      <c r="O67" s="31">
        <v>31.87</v>
      </c>
      <c r="P67" s="31">
        <v>1</v>
      </c>
      <c r="Q67" s="31">
        <v>13.9</v>
      </c>
      <c r="R67" s="31"/>
      <c r="S67" s="31">
        <v>4</v>
      </c>
      <c r="T67" s="32">
        <f t="shared" si="1"/>
        <v>85.140000000000015</v>
      </c>
      <c r="U67" s="32">
        <v>98.951999999999984</v>
      </c>
      <c r="V67" s="84"/>
      <c r="W67" s="71" t="s">
        <v>538</v>
      </c>
      <c r="X67" s="31"/>
      <c r="Y67" s="31"/>
      <c r="Z67" s="31"/>
      <c r="AA67" s="31"/>
      <c r="AB67" s="31"/>
    </row>
    <row r="68" spans="1:28">
      <c r="A68" s="149"/>
      <c r="B68" s="157" t="s">
        <v>283</v>
      </c>
      <c r="C68" s="158"/>
      <c r="D68" s="159"/>
      <c r="E68" s="45"/>
      <c r="F68" s="46">
        <f t="shared" ref="F68:U68" si="3">SUM(F6:F67)</f>
        <v>41420.869999999995</v>
      </c>
      <c r="G68" s="46">
        <f t="shared" si="3"/>
        <v>23476.97</v>
      </c>
      <c r="H68" s="46"/>
      <c r="I68" s="46">
        <f t="shared" si="3"/>
        <v>4962.9599999999991</v>
      </c>
      <c r="J68" s="46">
        <f t="shared" si="3"/>
        <v>0</v>
      </c>
      <c r="K68" s="46">
        <f t="shared" si="3"/>
        <v>14855.372038175999</v>
      </c>
      <c r="L68" s="46">
        <f t="shared" si="3"/>
        <v>14855.372038175999</v>
      </c>
      <c r="M68" s="46">
        <f t="shared" si="3"/>
        <v>159.24</v>
      </c>
      <c r="N68" s="46">
        <f t="shared" si="3"/>
        <v>3864.9452999919995</v>
      </c>
      <c r="O68" s="46">
        <f t="shared" si="3"/>
        <v>29333.082999999999</v>
      </c>
      <c r="P68" s="46">
        <f t="shared" si="3"/>
        <v>39668.951200000003</v>
      </c>
      <c r="Q68" s="88">
        <f t="shared" si="3"/>
        <v>5309.9237800000001</v>
      </c>
      <c r="R68" s="46">
        <f t="shared" si="3"/>
        <v>941.25799999999981</v>
      </c>
      <c r="S68" s="46">
        <f t="shared" si="3"/>
        <v>444.40808000000004</v>
      </c>
      <c r="T68" s="88">
        <f t="shared" si="3"/>
        <v>170007.581398168</v>
      </c>
      <c r="U68" s="88">
        <f t="shared" si="3"/>
        <v>165969.84030243973</v>
      </c>
      <c r="V68" s="84"/>
      <c r="W68" s="76"/>
      <c r="X68" s="46">
        <f>SUM(X6:X67)</f>
        <v>0</v>
      </c>
      <c r="Y68" s="46">
        <f>SUM(Y6:Y67)</f>
        <v>0</v>
      </c>
      <c r="Z68" s="46">
        <f>SUM(Z6:Z67)</f>
        <v>0</v>
      </c>
      <c r="AA68" s="46">
        <f>SUM(AA6:AA67)</f>
        <v>0</v>
      </c>
      <c r="AB68" s="46"/>
    </row>
    <row r="69" spans="1:28" ht="126">
      <c r="A69" s="147" t="s">
        <v>62</v>
      </c>
      <c r="B69" s="43" t="s">
        <v>216</v>
      </c>
      <c r="C69" s="43" t="s">
        <v>63</v>
      </c>
      <c r="D69" s="95">
        <v>63</v>
      </c>
      <c r="E69" s="47" t="s">
        <v>233</v>
      </c>
      <c r="F69" s="31"/>
      <c r="G69" s="31"/>
      <c r="H69" s="31"/>
      <c r="I69" s="31"/>
      <c r="J69" s="31"/>
      <c r="K69" s="31"/>
      <c r="L69" s="31">
        <f t="shared" si="2"/>
        <v>0</v>
      </c>
      <c r="M69" s="31">
        <v>13.3</v>
      </c>
      <c r="N69" s="31">
        <v>21.33</v>
      </c>
      <c r="O69" s="31"/>
      <c r="P69" s="31">
        <v>0</v>
      </c>
      <c r="Q69" s="31">
        <v>3.8</v>
      </c>
      <c r="R69" s="31">
        <v>71.03</v>
      </c>
      <c r="S69" s="31">
        <v>21.5</v>
      </c>
      <c r="T69" s="32">
        <f t="shared" si="1"/>
        <v>130.95999999999998</v>
      </c>
      <c r="U69" s="32">
        <v>144.05000000000001</v>
      </c>
      <c r="V69" s="84"/>
      <c r="W69" s="71" t="s">
        <v>433</v>
      </c>
      <c r="X69" s="31"/>
      <c r="Y69" s="31"/>
      <c r="Z69" s="31"/>
      <c r="AA69" s="31"/>
      <c r="AB69" s="31"/>
    </row>
    <row r="70" spans="1:28" ht="53.25" customHeight="1">
      <c r="A70" s="148"/>
      <c r="B70" s="150" t="s">
        <v>217</v>
      </c>
      <c r="C70" s="150" t="s">
        <v>64</v>
      </c>
      <c r="D70" s="95">
        <v>64</v>
      </c>
      <c r="E70" s="38" t="s">
        <v>65</v>
      </c>
      <c r="F70" s="97">
        <v>0</v>
      </c>
      <c r="G70" s="97">
        <v>0</v>
      </c>
      <c r="H70" s="97">
        <v>0</v>
      </c>
      <c r="I70" s="97">
        <v>0</v>
      </c>
      <c r="J70" s="97">
        <v>37.33</v>
      </c>
      <c r="K70" s="97">
        <v>2.16</v>
      </c>
      <c r="L70" s="31">
        <f t="shared" si="2"/>
        <v>39.489999999999995</v>
      </c>
      <c r="M70" s="97">
        <v>0</v>
      </c>
      <c r="N70" s="97">
        <v>27</v>
      </c>
      <c r="O70" s="97">
        <v>23.25</v>
      </c>
      <c r="P70" s="97">
        <v>0</v>
      </c>
      <c r="Q70" s="97">
        <v>34</v>
      </c>
      <c r="R70" s="97">
        <v>64.099999999999994</v>
      </c>
      <c r="S70" s="97">
        <v>0</v>
      </c>
      <c r="T70" s="32">
        <f t="shared" si="1"/>
        <v>187.83999999999997</v>
      </c>
      <c r="U70" s="32">
        <f>220.99+37.43</f>
        <v>258.42</v>
      </c>
      <c r="V70" s="84"/>
      <c r="W70" s="71" t="s">
        <v>518</v>
      </c>
      <c r="X70" s="31"/>
      <c r="Y70" s="31"/>
      <c r="Z70" s="31"/>
      <c r="AA70" s="31"/>
      <c r="AB70" s="31"/>
    </row>
    <row r="71" spans="1:28" ht="31.5">
      <c r="A71" s="148"/>
      <c r="B71" s="151"/>
      <c r="C71" s="151"/>
      <c r="D71" s="95">
        <v>65</v>
      </c>
      <c r="E71" s="38" t="s">
        <v>66</v>
      </c>
      <c r="F71" s="97">
        <v>25.5</v>
      </c>
      <c r="G71" s="97">
        <v>0</v>
      </c>
      <c r="H71" s="97">
        <v>0</v>
      </c>
      <c r="I71" s="97">
        <v>7.18</v>
      </c>
      <c r="J71" s="97">
        <v>0</v>
      </c>
      <c r="K71" s="97">
        <v>0</v>
      </c>
      <c r="L71" s="31">
        <f t="shared" si="2"/>
        <v>0</v>
      </c>
      <c r="M71" s="97">
        <v>0</v>
      </c>
      <c r="N71" s="97">
        <v>69.209999999999994</v>
      </c>
      <c r="O71" s="97">
        <v>46.43</v>
      </c>
      <c r="P71" s="97">
        <v>4449.21</v>
      </c>
      <c r="Q71" s="97">
        <v>121.83799999999999</v>
      </c>
      <c r="R71" s="97">
        <v>307.97199999999998</v>
      </c>
      <c r="S71" s="97">
        <v>0</v>
      </c>
      <c r="T71" s="32">
        <f t="shared" si="1"/>
        <v>5027.3399999999992</v>
      </c>
      <c r="U71" s="32">
        <f>4390.702+127.93</f>
        <v>4518.6320000000005</v>
      </c>
      <c r="V71" s="84"/>
      <c r="W71" s="71" t="s">
        <v>519</v>
      </c>
      <c r="X71" s="31"/>
      <c r="Y71" s="31"/>
      <c r="Z71" s="31"/>
      <c r="AA71" s="31"/>
      <c r="AB71" s="31"/>
    </row>
    <row r="72" spans="1:28" ht="31.5">
      <c r="A72" s="148"/>
      <c r="B72" s="151"/>
      <c r="C72" s="151"/>
      <c r="D72" s="95">
        <v>66</v>
      </c>
      <c r="E72" s="38" t="s">
        <v>67</v>
      </c>
      <c r="F72" s="97">
        <v>0</v>
      </c>
      <c r="G72" s="97">
        <v>0</v>
      </c>
      <c r="H72" s="97"/>
      <c r="I72" s="97">
        <v>75</v>
      </c>
      <c r="J72" s="97">
        <v>7.35</v>
      </c>
      <c r="K72" s="97">
        <v>2</v>
      </c>
      <c r="L72" s="31">
        <f t="shared" si="2"/>
        <v>9.35</v>
      </c>
      <c r="M72" s="97">
        <v>0</v>
      </c>
      <c r="N72" s="97">
        <v>82</v>
      </c>
      <c r="O72" s="97">
        <v>0.54300000000000004</v>
      </c>
      <c r="P72" s="97">
        <v>401.15499999999997</v>
      </c>
      <c r="Q72" s="97">
        <v>35</v>
      </c>
      <c r="R72" s="97">
        <v>20</v>
      </c>
      <c r="S72" s="97">
        <v>0</v>
      </c>
      <c r="T72" s="32">
        <f t="shared" ref="T72:T92" si="4">F72+G72+H72+I72+L72+M72+N72+O72+P72+Q72+R72+S72</f>
        <v>623.048</v>
      </c>
      <c r="U72" s="32">
        <f>764.618+112.02</f>
        <v>876.63800000000003</v>
      </c>
      <c r="V72" s="84"/>
      <c r="W72" s="71" t="s">
        <v>520</v>
      </c>
      <c r="X72" s="31"/>
      <c r="Y72" s="31"/>
      <c r="Z72" s="31"/>
      <c r="AA72" s="31"/>
      <c r="AB72" s="31"/>
    </row>
    <row r="73" spans="1:28" ht="31.5">
      <c r="A73" s="148"/>
      <c r="B73" s="151"/>
      <c r="C73" s="151"/>
      <c r="D73" s="95">
        <v>67</v>
      </c>
      <c r="E73" s="38" t="s">
        <v>68</v>
      </c>
      <c r="F73" s="97">
        <v>0</v>
      </c>
      <c r="G73" s="97">
        <v>0</v>
      </c>
      <c r="H73" s="97">
        <v>0</v>
      </c>
      <c r="I73" s="97">
        <v>11.4</v>
      </c>
      <c r="J73" s="97">
        <v>10.039999999999999</v>
      </c>
      <c r="K73" s="97">
        <v>12</v>
      </c>
      <c r="L73" s="31">
        <f t="shared" si="2"/>
        <v>22.04</v>
      </c>
      <c r="M73" s="97">
        <v>0</v>
      </c>
      <c r="N73" s="97">
        <v>4</v>
      </c>
      <c r="O73" s="97">
        <v>0</v>
      </c>
      <c r="P73" s="97">
        <v>52.85</v>
      </c>
      <c r="Q73" s="97">
        <v>20</v>
      </c>
      <c r="R73" s="97">
        <v>40</v>
      </c>
      <c r="S73" s="97">
        <v>9</v>
      </c>
      <c r="T73" s="32">
        <f t="shared" si="4"/>
        <v>159.29</v>
      </c>
      <c r="U73" s="32">
        <f>161.85+28.88</f>
        <v>190.73</v>
      </c>
      <c r="V73" s="84"/>
      <c r="W73" s="71" t="s">
        <v>521</v>
      </c>
      <c r="X73" s="31"/>
      <c r="Y73" s="31"/>
      <c r="Z73" s="31"/>
      <c r="AA73" s="31"/>
      <c r="AB73" s="31"/>
    </row>
    <row r="74" spans="1:28" ht="267" customHeight="1">
      <c r="A74" s="148"/>
      <c r="B74" s="151"/>
      <c r="C74" s="151"/>
      <c r="D74" s="95">
        <v>68</v>
      </c>
      <c r="E74" s="38" t="s">
        <v>69</v>
      </c>
      <c r="F74" s="31"/>
      <c r="G74" s="31"/>
      <c r="H74" s="31"/>
      <c r="I74" s="31"/>
      <c r="J74" s="31"/>
      <c r="K74" s="31">
        <v>15</v>
      </c>
      <c r="L74" s="31">
        <f t="shared" si="2"/>
        <v>15</v>
      </c>
      <c r="M74" s="31"/>
      <c r="N74" s="31">
        <v>275.91000000000003</v>
      </c>
      <c r="O74" s="31">
        <v>3547.2815000000001</v>
      </c>
      <c r="P74" s="31">
        <v>431.66</v>
      </c>
      <c r="Q74" s="31">
        <v>157</v>
      </c>
      <c r="R74" s="31">
        <v>87.42</v>
      </c>
      <c r="S74" s="31">
        <v>147.262</v>
      </c>
      <c r="T74" s="32">
        <f t="shared" si="4"/>
        <v>4661.5334999999995</v>
      </c>
      <c r="U74" s="32">
        <v>4984.75</v>
      </c>
      <c r="V74" s="84"/>
      <c r="W74" s="71" t="s">
        <v>451</v>
      </c>
      <c r="X74" s="31"/>
      <c r="Y74" s="31"/>
      <c r="Z74" s="31"/>
      <c r="AA74" s="31"/>
      <c r="AB74" s="31"/>
    </row>
    <row r="75" spans="1:28" ht="94.5">
      <c r="A75" s="148"/>
      <c r="B75" s="150" t="s">
        <v>218</v>
      </c>
      <c r="C75" s="150" t="s">
        <v>70</v>
      </c>
      <c r="D75" s="95">
        <v>69</v>
      </c>
      <c r="E75" s="38" t="s">
        <v>157</v>
      </c>
      <c r="F75" s="31">
        <v>0</v>
      </c>
      <c r="G75" s="31">
        <v>0</v>
      </c>
      <c r="H75" s="31">
        <v>0</v>
      </c>
      <c r="I75" s="31">
        <v>0</v>
      </c>
      <c r="J75" s="31">
        <v>0</v>
      </c>
      <c r="K75" s="31">
        <v>30.35</v>
      </c>
      <c r="L75" s="31">
        <f t="shared" si="2"/>
        <v>30.35</v>
      </c>
      <c r="M75" s="31">
        <v>7.6</v>
      </c>
      <c r="N75" s="31">
        <v>0</v>
      </c>
      <c r="O75" s="31">
        <v>1471.795625</v>
      </c>
      <c r="P75" s="31">
        <v>190.676875</v>
      </c>
      <c r="Q75" s="91">
        <v>44.84</v>
      </c>
      <c r="R75" s="31">
        <v>0</v>
      </c>
      <c r="S75" s="31"/>
      <c r="T75" s="32">
        <f t="shared" si="4"/>
        <v>1745.2625</v>
      </c>
      <c r="U75" s="32">
        <f>2003.0325+47.082</f>
        <v>2050.1145000000001</v>
      </c>
      <c r="V75" s="84"/>
      <c r="W75" s="71" t="s">
        <v>522</v>
      </c>
      <c r="X75" s="31"/>
      <c r="Y75" s="31"/>
      <c r="Z75" s="31"/>
      <c r="AA75" s="31"/>
      <c r="AB75" s="31"/>
    </row>
    <row r="76" spans="1:28" ht="47.25">
      <c r="A76" s="148"/>
      <c r="B76" s="150"/>
      <c r="C76" s="150"/>
      <c r="D76" s="95">
        <v>70</v>
      </c>
      <c r="E76" s="38" t="s">
        <v>158</v>
      </c>
      <c r="F76" s="31">
        <v>49.2</v>
      </c>
      <c r="G76" s="31">
        <v>0</v>
      </c>
      <c r="H76" s="31">
        <v>0</v>
      </c>
      <c r="I76" s="31">
        <v>97.66</v>
      </c>
      <c r="J76" s="31">
        <v>0</v>
      </c>
      <c r="K76" s="31">
        <v>0</v>
      </c>
      <c r="L76" s="31">
        <f t="shared" si="2"/>
        <v>0</v>
      </c>
      <c r="M76" s="31">
        <v>0</v>
      </c>
      <c r="N76" s="31">
        <v>0</v>
      </c>
      <c r="O76" s="31">
        <v>0</v>
      </c>
      <c r="P76" s="31">
        <v>44.2</v>
      </c>
      <c r="Q76" s="31">
        <v>0</v>
      </c>
      <c r="R76" s="31">
        <v>0</v>
      </c>
      <c r="S76" s="31"/>
      <c r="T76" s="32">
        <f t="shared" si="4"/>
        <v>191.06</v>
      </c>
      <c r="U76" s="32">
        <v>200.61299999999997</v>
      </c>
      <c r="V76" s="84"/>
      <c r="W76" s="71" t="s">
        <v>385</v>
      </c>
      <c r="X76" s="31"/>
      <c r="Y76" s="31"/>
      <c r="Z76" s="31"/>
      <c r="AA76" s="31"/>
      <c r="AB76" s="31"/>
    </row>
    <row r="77" spans="1:28">
      <c r="A77" s="148"/>
      <c r="B77" s="150"/>
      <c r="C77" s="150"/>
      <c r="D77" s="95">
        <v>71</v>
      </c>
      <c r="E77" s="38" t="s">
        <v>159</v>
      </c>
      <c r="F77" s="31">
        <v>0</v>
      </c>
      <c r="G77" s="31">
        <v>0</v>
      </c>
      <c r="H77" s="31">
        <v>0</v>
      </c>
      <c r="I77" s="31">
        <v>0</v>
      </c>
      <c r="J77" s="31">
        <v>0</v>
      </c>
      <c r="K77" s="31">
        <v>0</v>
      </c>
      <c r="L77" s="31">
        <f t="shared" si="2"/>
        <v>0</v>
      </c>
      <c r="M77" s="31">
        <v>0</v>
      </c>
      <c r="N77" s="31">
        <v>0</v>
      </c>
      <c r="O77" s="31">
        <v>0</v>
      </c>
      <c r="P77" s="31">
        <v>0</v>
      </c>
      <c r="Q77" s="31">
        <v>0</v>
      </c>
      <c r="R77" s="31">
        <v>0</v>
      </c>
      <c r="S77" s="31"/>
      <c r="T77" s="32">
        <f t="shared" si="4"/>
        <v>0</v>
      </c>
      <c r="U77" s="32"/>
      <c r="V77" s="84"/>
      <c r="W77" s="71"/>
      <c r="X77" s="31"/>
      <c r="Y77" s="31"/>
      <c r="Z77" s="31"/>
      <c r="AA77" s="31"/>
      <c r="AB77" s="31"/>
    </row>
    <row r="78" spans="1:28" ht="94.5">
      <c r="A78" s="148"/>
      <c r="B78" s="150"/>
      <c r="C78" s="150"/>
      <c r="D78" s="95">
        <v>72</v>
      </c>
      <c r="E78" s="38" t="s">
        <v>161</v>
      </c>
      <c r="F78" s="31">
        <v>0</v>
      </c>
      <c r="G78" s="31">
        <v>0</v>
      </c>
      <c r="H78" s="31">
        <v>0</v>
      </c>
      <c r="I78" s="31">
        <v>0</v>
      </c>
      <c r="J78" s="31">
        <v>0</v>
      </c>
      <c r="K78" s="31">
        <v>0</v>
      </c>
      <c r="L78" s="31">
        <f t="shared" si="2"/>
        <v>0</v>
      </c>
      <c r="M78" s="31">
        <v>0</v>
      </c>
      <c r="N78" s="31">
        <v>73.33</v>
      </c>
      <c r="O78" s="31">
        <v>0</v>
      </c>
      <c r="P78" s="31">
        <v>0</v>
      </c>
      <c r="Q78" s="31">
        <v>0</v>
      </c>
      <c r="R78" s="31">
        <v>122.35000000000001</v>
      </c>
      <c r="S78" s="31"/>
      <c r="T78" s="32">
        <f t="shared" si="4"/>
        <v>195.68</v>
      </c>
      <c r="U78" s="32">
        <v>252.54599999999999</v>
      </c>
      <c r="V78" s="84"/>
      <c r="W78" s="71" t="s">
        <v>386</v>
      </c>
      <c r="X78" s="31"/>
      <c r="Y78" s="31"/>
      <c r="Z78" s="31"/>
      <c r="AA78" s="31"/>
      <c r="AB78" s="31"/>
    </row>
    <row r="79" spans="1:28" ht="299.25">
      <c r="A79" s="148"/>
      <c r="B79" s="160" t="s">
        <v>219</v>
      </c>
      <c r="C79" s="160" t="s">
        <v>71</v>
      </c>
      <c r="D79" s="95">
        <v>73</v>
      </c>
      <c r="E79" s="38" t="s">
        <v>186</v>
      </c>
      <c r="F79" s="31">
        <v>500</v>
      </c>
      <c r="G79" s="31"/>
      <c r="H79" s="34">
        <f>600+175.42</f>
        <v>775.42</v>
      </c>
      <c r="I79" s="31">
        <v>225.655</v>
      </c>
      <c r="J79" s="31"/>
      <c r="K79" s="31">
        <v>115.8</v>
      </c>
      <c r="L79" s="31">
        <f t="shared" si="2"/>
        <v>115.8</v>
      </c>
      <c r="M79" s="31">
        <v>564.74400000000003</v>
      </c>
      <c r="N79" s="32">
        <v>177.69164000000001</v>
      </c>
      <c r="O79" s="31">
        <v>0</v>
      </c>
      <c r="P79" s="31">
        <v>251.01</v>
      </c>
      <c r="Q79" s="31"/>
      <c r="R79" s="31"/>
      <c r="S79" s="31">
        <v>49.3</v>
      </c>
      <c r="T79" s="32">
        <f t="shared" si="4"/>
        <v>2659.6206400000001</v>
      </c>
      <c r="U79" s="42">
        <f>2400+2925.58</f>
        <v>5325.58</v>
      </c>
      <c r="V79" s="84" t="s">
        <v>415</v>
      </c>
      <c r="W79" s="71" t="s">
        <v>494</v>
      </c>
      <c r="X79" s="31"/>
      <c r="Y79" s="31"/>
      <c r="Z79" s="31"/>
      <c r="AA79" s="31"/>
      <c r="AB79" s="31"/>
    </row>
    <row r="80" spans="1:28" ht="16.5">
      <c r="A80" s="148"/>
      <c r="B80" s="160"/>
      <c r="C80" s="160"/>
      <c r="D80" s="95">
        <v>74</v>
      </c>
      <c r="E80" s="38" t="s">
        <v>187</v>
      </c>
      <c r="F80" s="31">
        <v>5088</v>
      </c>
      <c r="G80" s="31"/>
      <c r="H80" s="31"/>
      <c r="I80" s="31"/>
      <c r="J80" s="31"/>
      <c r="K80" s="31"/>
      <c r="L80" s="31">
        <f t="shared" si="2"/>
        <v>0</v>
      </c>
      <c r="M80" s="31"/>
      <c r="N80" s="31"/>
      <c r="O80" s="31"/>
      <c r="P80" s="31"/>
      <c r="Q80" s="31"/>
      <c r="R80" s="31"/>
      <c r="S80" s="31"/>
      <c r="T80" s="32">
        <f t="shared" si="4"/>
        <v>5088</v>
      </c>
      <c r="U80" s="32">
        <v>5596.8</v>
      </c>
      <c r="V80" s="84"/>
      <c r="W80" s="83" t="s">
        <v>381</v>
      </c>
      <c r="X80" s="31"/>
      <c r="Y80" s="31"/>
      <c r="Z80" s="31"/>
      <c r="AA80" s="31"/>
      <c r="AB80" s="31"/>
    </row>
    <row r="81" spans="1:28" ht="181.5">
      <c r="A81" s="148"/>
      <c r="B81" s="160"/>
      <c r="C81" s="160"/>
      <c r="D81" s="95">
        <v>75</v>
      </c>
      <c r="E81" s="38" t="s">
        <v>81</v>
      </c>
      <c r="F81" s="31">
        <v>490</v>
      </c>
      <c r="G81" s="31"/>
      <c r="H81" s="31"/>
      <c r="I81" s="31"/>
      <c r="J81" s="31"/>
      <c r="K81" s="31"/>
      <c r="L81" s="31">
        <f t="shared" si="2"/>
        <v>0</v>
      </c>
      <c r="M81" s="31"/>
      <c r="N81" s="31"/>
      <c r="O81" s="31"/>
      <c r="P81" s="31">
        <v>3977.3</v>
      </c>
      <c r="Q81" s="31"/>
      <c r="R81" s="31"/>
      <c r="S81" s="31"/>
      <c r="T81" s="32">
        <f t="shared" si="4"/>
        <v>4467.3</v>
      </c>
      <c r="U81" s="32">
        <v>4914.0300000000007</v>
      </c>
      <c r="V81" s="84"/>
      <c r="W81" s="25" t="s">
        <v>443</v>
      </c>
      <c r="X81" s="31"/>
      <c r="Y81" s="31"/>
      <c r="Z81" s="31"/>
      <c r="AA81" s="31"/>
      <c r="AB81" s="31"/>
    </row>
    <row r="82" spans="1:28" ht="31.5">
      <c r="A82" s="148"/>
      <c r="B82" s="160"/>
      <c r="C82" s="160"/>
      <c r="D82" s="95">
        <v>76</v>
      </c>
      <c r="E82" s="38" t="s">
        <v>188</v>
      </c>
      <c r="F82" s="31"/>
      <c r="G82" s="31"/>
      <c r="H82" s="31"/>
      <c r="I82" s="31"/>
      <c r="J82" s="31"/>
      <c r="K82" s="31">
        <v>0</v>
      </c>
      <c r="L82" s="31">
        <f t="shared" si="2"/>
        <v>0</v>
      </c>
      <c r="M82" s="31">
        <v>2623.625</v>
      </c>
      <c r="N82" s="31"/>
      <c r="O82" s="31"/>
      <c r="P82" s="31"/>
      <c r="Q82" s="31"/>
      <c r="R82" s="31"/>
      <c r="S82" s="31"/>
      <c r="T82" s="32">
        <f t="shared" si="4"/>
        <v>2623.625</v>
      </c>
      <c r="U82" s="32">
        <v>2885.9875000000002</v>
      </c>
      <c r="V82" s="84"/>
      <c r="W82" s="71" t="s">
        <v>444</v>
      </c>
      <c r="X82" s="31"/>
      <c r="Y82" s="31"/>
      <c r="Z82" s="31"/>
      <c r="AA82" s="31"/>
      <c r="AB82" s="31"/>
    </row>
    <row r="83" spans="1:28" ht="173.25">
      <c r="A83" s="148"/>
      <c r="B83" s="160"/>
      <c r="C83" s="160"/>
      <c r="D83" s="95">
        <v>77</v>
      </c>
      <c r="E83" s="38" t="s">
        <v>189</v>
      </c>
      <c r="F83" s="31">
        <v>100</v>
      </c>
      <c r="G83" s="31"/>
      <c r="H83" s="31">
        <v>26.55</v>
      </c>
      <c r="I83" s="31">
        <v>26</v>
      </c>
      <c r="J83" s="31"/>
      <c r="K83" s="31">
        <v>22.8</v>
      </c>
      <c r="L83" s="31">
        <f t="shared" si="2"/>
        <v>22.8</v>
      </c>
      <c r="M83" s="31">
        <v>3534.32</v>
      </c>
      <c r="N83" s="31">
        <v>84.527760000000001</v>
      </c>
      <c r="O83" s="31"/>
      <c r="P83" s="31"/>
      <c r="Q83" s="31"/>
      <c r="R83" s="31"/>
      <c r="S83" s="31">
        <v>0</v>
      </c>
      <c r="T83" s="32">
        <f t="shared" si="4"/>
        <v>3794.19776</v>
      </c>
      <c r="U83" s="32">
        <v>4173.6175359999997</v>
      </c>
      <c r="V83" s="84"/>
      <c r="W83" s="71" t="s">
        <v>445</v>
      </c>
      <c r="X83" s="31"/>
      <c r="Y83" s="31"/>
      <c r="Z83" s="31"/>
      <c r="AA83" s="31"/>
      <c r="AB83" s="31"/>
    </row>
    <row r="84" spans="1:28" ht="78.75">
      <c r="A84" s="148"/>
      <c r="B84" s="160"/>
      <c r="C84" s="160"/>
      <c r="D84" s="95">
        <v>78</v>
      </c>
      <c r="E84" s="38" t="s">
        <v>160</v>
      </c>
      <c r="F84" s="31"/>
      <c r="G84" s="31"/>
      <c r="H84" s="31"/>
      <c r="I84" s="31"/>
      <c r="J84" s="31"/>
      <c r="K84" s="31"/>
      <c r="L84" s="31">
        <f t="shared" si="2"/>
        <v>0</v>
      </c>
      <c r="M84" s="31"/>
      <c r="N84" s="31"/>
      <c r="O84" s="31"/>
      <c r="P84" s="31"/>
      <c r="Q84" s="32">
        <v>193.75399999999999</v>
      </c>
      <c r="R84" s="31"/>
      <c r="S84" s="31"/>
      <c r="T84" s="32">
        <f t="shared" si="4"/>
        <v>193.75399999999999</v>
      </c>
      <c r="U84" s="32">
        <v>213.12939999999998</v>
      </c>
      <c r="V84" s="84"/>
      <c r="W84" s="71" t="s">
        <v>523</v>
      </c>
      <c r="X84" s="31"/>
      <c r="Y84" s="31"/>
      <c r="Z84" s="31"/>
      <c r="AA84" s="31"/>
      <c r="AB84" s="31"/>
    </row>
    <row r="85" spans="1:28" ht="31.5">
      <c r="A85" s="148"/>
      <c r="B85" s="160"/>
      <c r="C85" s="160"/>
      <c r="D85" s="95">
        <v>79</v>
      </c>
      <c r="E85" s="30" t="s">
        <v>182</v>
      </c>
      <c r="F85" s="31">
        <v>15</v>
      </c>
      <c r="G85" s="31"/>
      <c r="H85" s="31"/>
      <c r="I85" s="31"/>
      <c r="J85" s="31"/>
      <c r="K85" s="31"/>
      <c r="L85" s="31">
        <f t="shared" si="2"/>
        <v>0</v>
      </c>
      <c r="M85" s="31"/>
      <c r="N85" s="31"/>
      <c r="O85" s="31"/>
      <c r="P85" s="31"/>
      <c r="Q85" s="31"/>
      <c r="R85" s="31"/>
      <c r="S85" s="31"/>
      <c r="T85" s="32">
        <f t="shared" si="4"/>
        <v>15</v>
      </c>
      <c r="U85" s="32">
        <v>16.5</v>
      </c>
      <c r="V85" s="84"/>
      <c r="W85" s="71" t="s">
        <v>446</v>
      </c>
      <c r="X85" s="31"/>
      <c r="Y85" s="31"/>
      <c r="Z85" s="31"/>
      <c r="AA85" s="31"/>
      <c r="AB85" s="31"/>
    </row>
    <row r="86" spans="1:28" ht="47.25">
      <c r="A86" s="148"/>
      <c r="B86" s="150" t="s">
        <v>220</v>
      </c>
      <c r="C86" s="150" t="s">
        <v>72</v>
      </c>
      <c r="D86" s="95">
        <v>80</v>
      </c>
      <c r="E86" s="36" t="s">
        <v>169</v>
      </c>
      <c r="F86" s="31"/>
      <c r="G86" s="31"/>
      <c r="H86" s="31"/>
      <c r="I86" s="31"/>
      <c r="J86" s="31"/>
      <c r="K86" s="31"/>
      <c r="L86" s="31">
        <f t="shared" si="2"/>
        <v>0</v>
      </c>
      <c r="M86" s="31"/>
      <c r="N86" s="31">
        <v>1</v>
      </c>
      <c r="O86" s="31"/>
      <c r="P86" s="31">
        <v>4.7</v>
      </c>
      <c r="Q86" s="31">
        <v>5</v>
      </c>
      <c r="R86" s="31">
        <v>0.4</v>
      </c>
      <c r="S86" s="31"/>
      <c r="T86" s="32">
        <f t="shared" si="4"/>
        <v>11.1</v>
      </c>
      <c r="U86" s="32">
        <f>11.65+5.25</f>
        <v>16.899999999999999</v>
      </c>
      <c r="V86" s="84"/>
      <c r="W86" s="71" t="s">
        <v>369</v>
      </c>
      <c r="X86" s="31"/>
      <c r="Y86" s="31"/>
      <c r="Z86" s="31"/>
      <c r="AA86" s="31"/>
      <c r="AB86" s="31"/>
    </row>
    <row r="87" spans="1:28" ht="141.75">
      <c r="A87" s="148"/>
      <c r="B87" s="150"/>
      <c r="C87" s="150"/>
      <c r="D87" s="95">
        <v>81</v>
      </c>
      <c r="E87" s="36" t="s">
        <v>350</v>
      </c>
      <c r="F87" s="31"/>
      <c r="G87" s="31"/>
      <c r="H87" s="31"/>
      <c r="I87" s="31"/>
      <c r="J87" s="31"/>
      <c r="K87" s="31"/>
      <c r="L87" s="31">
        <f t="shared" si="2"/>
        <v>0</v>
      </c>
      <c r="M87" s="97">
        <v>535.19000000000005</v>
      </c>
      <c r="N87" s="31">
        <v>5</v>
      </c>
      <c r="O87" s="31"/>
      <c r="P87" s="31">
        <v>7</v>
      </c>
      <c r="Q87" s="31">
        <v>5</v>
      </c>
      <c r="R87" s="31"/>
      <c r="S87" s="31"/>
      <c r="T87" s="32">
        <f t="shared" si="4"/>
        <v>552.19000000000005</v>
      </c>
      <c r="U87" s="32">
        <v>579.79</v>
      </c>
      <c r="V87" s="84"/>
      <c r="W87" s="71" t="s">
        <v>459</v>
      </c>
      <c r="X87" s="31"/>
      <c r="Y87" s="31"/>
      <c r="Z87" s="31"/>
      <c r="AA87" s="31"/>
      <c r="AB87" s="31"/>
    </row>
    <row r="88" spans="1:28" ht="31.5">
      <c r="A88" s="148"/>
      <c r="B88" s="150"/>
      <c r="C88" s="150"/>
      <c r="D88" s="95">
        <v>82</v>
      </c>
      <c r="E88" s="36" t="s">
        <v>351</v>
      </c>
      <c r="F88" s="31"/>
      <c r="G88" s="31"/>
      <c r="H88" s="31"/>
      <c r="I88" s="31"/>
      <c r="J88" s="31"/>
      <c r="K88" s="31"/>
      <c r="L88" s="31">
        <f t="shared" si="2"/>
        <v>0</v>
      </c>
      <c r="M88" s="31"/>
      <c r="N88" s="31"/>
      <c r="O88" s="31"/>
      <c r="P88" s="31"/>
      <c r="Q88" s="31"/>
      <c r="R88" s="31"/>
      <c r="S88" s="31"/>
      <c r="T88" s="32">
        <f t="shared" si="4"/>
        <v>0</v>
      </c>
      <c r="U88" s="32"/>
      <c r="V88" s="84"/>
      <c r="W88" s="71"/>
      <c r="X88" s="31"/>
      <c r="Y88" s="31"/>
      <c r="Z88" s="31"/>
      <c r="AA88" s="31"/>
      <c r="AB88" s="31"/>
    </row>
    <row r="89" spans="1:28" ht="173.25">
      <c r="A89" s="148"/>
      <c r="B89" s="150"/>
      <c r="C89" s="150"/>
      <c r="D89" s="95">
        <v>83</v>
      </c>
      <c r="E89" s="36" t="s">
        <v>170</v>
      </c>
      <c r="F89" s="31"/>
      <c r="G89" s="31"/>
      <c r="H89" s="31"/>
      <c r="I89" s="31"/>
      <c r="J89" s="101">
        <v>64.02</v>
      </c>
      <c r="K89" s="101">
        <v>362.63</v>
      </c>
      <c r="L89" s="31">
        <f t="shared" si="2"/>
        <v>426.65</v>
      </c>
      <c r="M89" s="31"/>
      <c r="N89" s="31">
        <v>8</v>
      </c>
      <c r="O89" s="31"/>
      <c r="P89" s="31">
        <v>6.6</v>
      </c>
      <c r="Q89" s="31"/>
      <c r="R89" s="31"/>
      <c r="S89" s="31"/>
      <c r="T89" s="32">
        <f t="shared" si="4"/>
        <v>441.25</v>
      </c>
      <c r="U89" s="32">
        <v>463.37</v>
      </c>
      <c r="V89" s="84"/>
      <c r="W89" s="71" t="s">
        <v>460</v>
      </c>
      <c r="X89" s="31"/>
      <c r="Y89" s="31"/>
      <c r="Z89" s="31"/>
      <c r="AA89" s="31"/>
      <c r="AB89" s="31"/>
    </row>
    <row r="90" spans="1:28" ht="110.25">
      <c r="A90" s="148"/>
      <c r="B90" s="43" t="s">
        <v>221</v>
      </c>
      <c r="C90" s="43" t="s">
        <v>73</v>
      </c>
      <c r="D90" s="95">
        <v>84</v>
      </c>
      <c r="E90" s="36" t="s">
        <v>231</v>
      </c>
      <c r="F90" s="31"/>
      <c r="G90" s="31"/>
      <c r="H90" s="31"/>
      <c r="I90" s="31"/>
      <c r="J90" s="31"/>
      <c r="K90" s="31">
        <v>200</v>
      </c>
      <c r="L90" s="31">
        <f t="shared" si="2"/>
        <v>200</v>
      </c>
      <c r="M90" s="31"/>
      <c r="N90" s="31">
        <v>2.14</v>
      </c>
      <c r="O90" s="31"/>
      <c r="P90" s="31"/>
      <c r="Q90" s="31">
        <v>3.8</v>
      </c>
      <c r="R90" s="31"/>
      <c r="S90" s="31">
        <v>3.59</v>
      </c>
      <c r="T90" s="32">
        <f t="shared" si="4"/>
        <v>209.53</v>
      </c>
      <c r="U90" s="32">
        <f>230.48+3.99</f>
        <v>234.47</v>
      </c>
      <c r="V90" s="84"/>
      <c r="W90" s="71" t="s">
        <v>412</v>
      </c>
      <c r="X90" s="31"/>
      <c r="Y90" s="31"/>
      <c r="Z90" s="31"/>
      <c r="AA90" s="31"/>
      <c r="AB90" s="31"/>
    </row>
    <row r="91" spans="1:28" ht="78.75">
      <c r="A91" s="148"/>
      <c r="B91" s="43" t="s">
        <v>222</v>
      </c>
      <c r="C91" s="43" t="s">
        <v>74</v>
      </c>
      <c r="D91" s="95">
        <v>85</v>
      </c>
      <c r="E91" s="36" t="s">
        <v>234</v>
      </c>
      <c r="F91" s="31"/>
      <c r="G91" s="31"/>
      <c r="H91" s="31"/>
      <c r="I91" s="31"/>
      <c r="J91" s="31"/>
      <c r="K91" s="31"/>
      <c r="L91" s="31">
        <f t="shared" si="2"/>
        <v>0</v>
      </c>
      <c r="M91" s="31"/>
      <c r="N91" s="31"/>
      <c r="O91" s="31"/>
      <c r="P91" s="31"/>
      <c r="Q91" s="31"/>
      <c r="R91" s="31"/>
      <c r="S91" s="31"/>
      <c r="T91" s="32">
        <f t="shared" si="4"/>
        <v>0</v>
      </c>
      <c r="U91" s="32"/>
      <c r="V91" s="84"/>
      <c r="W91" s="71"/>
      <c r="X91" s="31"/>
      <c r="Y91" s="31"/>
      <c r="Z91" s="31"/>
      <c r="AA91" s="31"/>
      <c r="AB91" s="31"/>
    </row>
    <row r="92" spans="1:28" ht="47.25">
      <c r="A92" s="148"/>
      <c r="B92" s="43" t="s">
        <v>235</v>
      </c>
      <c r="C92" s="49" t="s">
        <v>182</v>
      </c>
      <c r="D92" s="95">
        <v>86</v>
      </c>
      <c r="E92" s="30" t="s">
        <v>236</v>
      </c>
      <c r="F92" s="31"/>
      <c r="G92" s="31"/>
      <c r="H92" s="31"/>
      <c r="I92" s="31"/>
      <c r="J92" s="31"/>
      <c r="K92" s="31"/>
      <c r="L92" s="31">
        <f t="shared" si="2"/>
        <v>0</v>
      </c>
      <c r="M92" s="31"/>
      <c r="N92" s="31"/>
      <c r="O92" s="31"/>
      <c r="P92" s="31"/>
      <c r="Q92" s="31"/>
      <c r="R92" s="31"/>
      <c r="S92" s="31"/>
      <c r="T92" s="32">
        <f t="shared" si="4"/>
        <v>0</v>
      </c>
      <c r="U92" s="32"/>
      <c r="V92" s="84"/>
      <c r="W92" s="71"/>
      <c r="X92" s="31"/>
      <c r="Y92" s="31"/>
      <c r="Z92" s="31"/>
      <c r="AA92" s="31"/>
      <c r="AB92" s="31"/>
    </row>
    <row r="93" spans="1:28" s="50" customFormat="1">
      <c r="A93" s="149"/>
      <c r="B93" s="157" t="s">
        <v>278</v>
      </c>
      <c r="C93" s="158"/>
      <c r="D93" s="159"/>
      <c r="E93" s="45"/>
      <c r="F93" s="46">
        <f t="shared" ref="F93:J93" si="5">SUM(F69:F92)</f>
        <v>6267.7</v>
      </c>
      <c r="G93" s="46">
        <f t="shared" si="5"/>
        <v>0</v>
      </c>
      <c r="H93" s="46"/>
      <c r="I93" s="46">
        <f t="shared" si="5"/>
        <v>442.89499999999998</v>
      </c>
      <c r="J93" s="46">
        <f t="shared" si="5"/>
        <v>118.74</v>
      </c>
      <c r="K93" s="46">
        <f>SUM(K69:K92)</f>
        <v>762.74</v>
      </c>
      <c r="L93" s="46">
        <f t="shared" ref="L93:AA93" si="6">SUM(L69:L92)</f>
        <v>881.48</v>
      </c>
      <c r="M93" s="46">
        <f t="shared" si="6"/>
        <v>7278.7790000000005</v>
      </c>
      <c r="N93" s="46">
        <f t="shared" si="6"/>
        <v>831.13940000000014</v>
      </c>
      <c r="O93" s="46">
        <f t="shared" si="6"/>
        <v>5089.3001249999998</v>
      </c>
      <c r="P93" s="46">
        <f t="shared" si="6"/>
        <v>9816.3618750000005</v>
      </c>
      <c r="Q93" s="46">
        <f t="shared" si="6"/>
        <v>624.03199999999993</v>
      </c>
      <c r="R93" s="46">
        <f t="shared" si="6"/>
        <v>713.27199999999993</v>
      </c>
      <c r="S93" s="46">
        <f t="shared" si="6"/>
        <v>230.65200000000002</v>
      </c>
      <c r="T93" s="88">
        <f t="shared" si="6"/>
        <v>32977.581399999995</v>
      </c>
      <c r="U93" s="88">
        <f t="shared" si="6"/>
        <v>37896.667936000005</v>
      </c>
      <c r="V93" s="84"/>
      <c r="W93" s="76"/>
      <c r="X93" s="46">
        <f t="shared" si="6"/>
        <v>0</v>
      </c>
      <c r="Y93" s="46">
        <f t="shared" si="6"/>
        <v>0</v>
      </c>
      <c r="Z93" s="46">
        <f t="shared" si="6"/>
        <v>0</v>
      </c>
      <c r="AA93" s="46">
        <f t="shared" si="6"/>
        <v>0</v>
      </c>
      <c r="AB93" s="46"/>
    </row>
    <row r="94" spans="1:28" ht="63">
      <c r="A94" s="147" t="s">
        <v>76</v>
      </c>
      <c r="B94" s="150" t="s">
        <v>248</v>
      </c>
      <c r="C94" s="150" t="s">
        <v>77</v>
      </c>
      <c r="D94" s="95">
        <v>87</v>
      </c>
      <c r="E94" s="38" t="s">
        <v>190</v>
      </c>
      <c r="F94" s="31"/>
      <c r="G94" s="31"/>
      <c r="H94" s="31"/>
      <c r="I94" s="31"/>
      <c r="J94" s="31"/>
      <c r="K94" s="31"/>
      <c r="L94" s="31">
        <f t="shared" si="2"/>
        <v>0</v>
      </c>
      <c r="M94" s="31"/>
      <c r="N94" s="31"/>
      <c r="O94" s="31"/>
      <c r="P94" s="101">
        <v>250</v>
      </c>
      <c r="Q94" s="31"/>
      <c r="R94" s="31"/>
      <c r="S94" s="31"/>
      <c r="T94" s="32">
        <f t="shared" ref="T94:T133" si="7">F94+G94+H94+I94+L94+M94+N94+O94+P94+Q94+R94+S94</f>
        <v>250</v>
      </c>
      <c r="U94" s="89">
        <v>300</v>
      </c>
      <c r="V94" s="84"/>
      <c r="W94" s="74" t="s">
        <v>492</v>
      </c>
      <c r="X94" s="31"/>
      <c r="Y94" s="31"/>
      <c r="Z94" s="31"/>
      <c r="AA94" s="31"/>
      <c r="AB94" s="31"/>
    </row>
    <row r="95" spans="1:28" ht="31.5">
      <c r="A95" s="148"/>
      <c r="B95" s="150"/>
      <c r="C95" s="150"/>
      <c r="D95" s="95">
        <v>88</v>
      </c>
      <c r="E95" s="38" t="s">
        <v>191</v>
      </c>
      <c r="F95" s="31"/>
      <c r="G95" s="31"/>
      <c r="H95" s="31"/>
      <c r="I95" s="31"/>
      <c r="J95" s="31"/>
      <c r="K95" s="31"/>
      <c r="L95" s="31">
        <f t="shared" si="2"/>
        <v>0</v>
      </c>
      <c r="M95" s="31"/>
      <c r="N95" s="31"/>
      <c r="O95" s="31"/>
      <c r="P95" s="51">
        <v>3000</v>
      </c>
      <c r="Q95" s="31"/>
      <c r="R95" s="31"/>
      <c r="S95" s="31"/>
      <c r="T95" s="32">
        <f t="shared" si="7"/>
        <v>3000</v>
      </c>
      <c r="U95" s="89">
        <v>3150</v>
      </c>
      <c r="V95" s="84"/>
      <c r="W95" s="74" t="s">
        <v>373</v>
      </c>
      <c r="X95" s="31"/>
      <c r="Y95" s="31"/>
      <c r="Z95" s="31"/>
      <c r="AA95" s="31"/>
      <c r="AB95" s="31"/>
    </row>
    <row r="96" spans="1:28" ht="47.25">
      <c r="A96" s="148"/>
      <c r="B96" s="150"/>
      <c r="C96" s="150"/>
      <c r="D96" s="95">
        <v>89</v>
      </c>
      <c r="E96" s="38" t="s">
        <v>265</v>
      </c>
      <c r="F96" s="31"/>
      <c r="G96" s="31"/>
      <c r="H96" s="31"/>
      <c r="I96" s="31"/>
      <c r="J96" s="31"/>
      <c r="K96" s="31"/>
      <c r="L96" s="31">
        <f t="shared" si="2"/>
        <v>0</v>
      </c>
      <c r="M96" s="31"/>
      <c r="N96" s="31"/>
      <c r="O96" s="31"/>
      <c r="P96" s="31"/>
      <c r="Q96" s="31"/>
      <c r="R96" s="31"/>
      <c r="S96" s="31"/>
      <c r="T96" s="32">
        <f t="shared" si="7"/>
        <v>0</v>
      </c>
      <c r="U96" s="32"/>
      <c r="V96" s="84"/>
      <c r="W96" s="71"/>
      <c r="X96" s="31"/>
      <c r="Y96" s="31"/>
      <c r="Z96" s="31"/>
      <c r="AA96" s="31"/>
      <c r="AB96" s="31"/>
    </row>
    <row r="97" spans="1:28" ht="47.25">
      <c r="A97" s="148"/>
      <c r="B97" s="150"/>
      <c r="C97" s="150"/>
      <c r="D97" s="95">
        <v>90</v>
      </c>
      <c r="E97" s="38" t="s">
        <v>266</v>
      </c>
      <c r="F97" s="31"/>
      <c r="G97" s="31"/>
      <c r="H97" s="31"/>
      <c r="I97" s="31"/>
      <c r="J97" s="31"/>
      <c r="K97" s="31"/>
      <c r="L97" s="31">
        <f t="shared" si="2"/>
        <v>0</v>
      </c>
      <c r="M97" s="31"/>
      <c r="N97" s="31"/>
      <c r="O97" s="31"/>
      <c r="P97" s="31"/>
      <c r="Q97" s="31"/>
      <c r="R97" s="31"/>
      <c r="S97" s="31"/>
      <c r="T97" s="32">
        <f t="shared" si="7"/>
        <v>0</v>
      </c>
      <c r="U97" s="32"/>
      <c r="V97" s="84"/>
      <c r="W97" s="71"/>
      <c r="X97" s="31"/>
      <c r="Y97" s="31"/>
      <c r="Z97" s="31"/>
      <c r="AA97" s="31"/>
      <c r="AB97" s="31"/>
    </row>
    <row r="98" spans="1:28">
      <c r="A98" s="148"/>
      <c r="B98" s="150"/>
      <c r="C98" s="150"/>
      <c r="D98" s="95">
        <v>91</v>
      </c>
      <c r="E98" s="38" t="s">
        <v>78</v>
      </c>
      <c r="F98" s="31"/>
      <c r="G98" s="31"/>
      <c r="H98" s="31"/>
      <c r="I98" s="31"/>
      <c r="J98" s="31"/>
      <c r="K98" s="31"/>
      <c r="L98" s="31">
        <f t="shared" si="2"/>
        <v>0</v>
      </c>
      <c r="M98" s="31"/>
      <c r="N98" s="31"/>
      <c r="O98" s="31"/>
      <c r="P98" s="31"/>
      <c r="Q98" s="31"/>
      <c r="R98" s="31"/>
      <c r="S98" s="31"/>
      <c r="T98" s="32">
        <f t="shared" si="7"/>
        <v>0</v>
      </c>
      <c r="U98" s="32"/>
      <c r="V98" s="84"/>
      <c r="W98" s="71"/>
      <c r="X98" s="31"/>
      <c r="Y98" s="31"/>
      <c r="Z98" s="31"/>
      <c r="AA98" s="31"/>
      <c r="AB98" s="31"/>
    </row>
    <row r="99" spans="1:28" ht="47.25">
      <c r="A99" s="148"/>
      <c r="B99" s="150"/>
      <c r="C99" s="150"/>
      <c r="D99" s="95">
        <v>92</v>
      </c>
      <c r="E99" s="38" t="s">
        <v>79</v>
      </c>
      <c r="F99" s="31"/>
      <c r="G99" s="31"/>
      <c r="H99" s="31"/>
      <c r="I99" s="31"/>
      <c r="J99" s="31"/>
      <c r="K99" s="31"/>
      <c r="L99" s="31">
        <f t="shared" si="2"/>
        <v>0</v>
      </c>
      <c r="M99" s="31"/>
      <c r="N99" s="31"/>
      <c r="O99" s="31"/>
      <c r="P99" s="51">
        <v>8</v>
      </c>
      <c r="Q99" s="31"/>
      <c r="R99" s="31"/>
      <c r="S99" s="31"/>
      <c r="T99" s="32">
        <f t="shared" si="7"/>
        <v>8</v>
      </c>
      <c r="U99" s="107">
        <v>10</v>
      </c>
      <c r="V99" s="84"/>
      <c r="W99" s="74" t="s">
        <v>493</v>
      </c>
      <c r="X99" s="31"/>
      <c r="Y99" s="31"/>
      <c r="Z99" s="31"/>
      <c r="AA99" s="31"/>
      <c r="AB99" s="31"/>
    </row>
    <row r="100" spans="1:28" ht="31.5">
      <c r="A100" s="148"/>
      <c r="B100" s="150"/>
      <c r="C100" s="150"/>
      <c r="D100" s="95">
        <v>93</v>
      </c>
      <c r="E100" s="38" t="s">
        <v>80</v>
      </c>
      <c r="F100" s="31"/>
      <c r="G100" s="31"/>
      <c r="H100" s="31"/>
      <c r="I100" s="31">
        <v>189</v>
      </c>
      <c r="J100" s="31"/>
      <c r="K100" s="31"/>
      <c r="L100" s="31">
        <f t="shared" si="2"/>
        <v>0</v>
      </c>
      <c r="M100" s="31"/>
      <c r="N100" s="31"/>
      <c r="O100" s="31"/>
      <c r="P100" s="31"/>
      <c r="Q100" s="31"/>
      <c r="R100" s="31"/>
      <c r="S100" s="31"/>
      <c r="T100" s="32">
        <f t="shared" si="7"/>
        <v>189</v>
      </c>
      <c r="U100" s="89">
        <v>199</v>
      </c>
      <c r="V100" s="84"/>
      <c r="W100" s="74" t="s">
        <v>370</v>
      </c>
      <c r="X100" s="31"/>
      <c r="Y100" s="31"/>
      <c r="Z100" s="31"/>
      <c r="AA100" s="31"/>
      <c r="AB100" s="31"/>
    </row>
    <row r="101" spans="1:28" ht="31.5">
      <c r="A101" s="148"/>
      <c r="B101" s="150"/>
      <c r="C101" s="150"/>
      <c r="D101" s="95">
        <v>94</v>
      </c>
      <c r="E101" s="38" t="s">
        <v>173</v>
      </c>
      <c r="F101" s="31"/>
      <c r="G101" s="31"/>
      <c r="H101" s="31"/>
      <c r="I101" s="31">
        <v>189</v>
      </c>
      <c r="J101" s="31"/>
      <c r="K101" s="31"/>
      <c r="L101" s="31">
        <f t="shared" si="2"/>
        <v>0</v>
      </c>
      <c r="M101" s="31"/>
      <c r="N101" s="31"/>
      <c r="O101" s="31"/>
      <c r="P101" s="31"/>
      <c r="Q101" s="31"/>
      <c r="R101" s="31"/>
      <c r="S101" s="31"/>
      <c r="T101" s="32">
        <f t="shared" si="7"/>
        <v>189</v>
      </c>
      <c r="U101" s="89">
        <v>199</v>
      </c>
      <c r="V101" s="84"/>
      <c r="W101" s="74" t="s">
        <v>371</v>
      </c>
      <c r="X101" s="31"/>
      <c r="Y101" s="31"/>
      <c r="Z101" s="31"/>
      <c r="AA101" s="31"/>
      <c r="AB101" s="31"/>
    </row>
    <row r="102" spans="1:28" ht="157.5">
      <c r="A102" s="148"/>
      <c r="B102" s="150"/>
      <c r="C102" s="150"/>
      <c r="D102" s="95">
        <v>95</v>
      </c>
      <c r="E102" s="38" t="s">
        <v>192</v>
      </c>
      <c r="F102" s="31"/>
      <c r="G102" s="31"/>
      <c r="H102" s="31"/>
      <c r="I102" s="31">
        <v>245</v>
      </c>
      <c r="J102" s="31"/>
      <c r="K102" s="31"/>
      <c r="L102" s="31">
        <f t="shared" si="2"/>
        <v>0</v>
      </c>
      <c r="M102" s="31"/>
      <c r="N102" s="31"/>
      <c r="O102" s="31"/>
      <c r="P102" s="31"/>
      <c r="Q102" s="31"/>
      <c r="R102" s="31"/>
      <c r="S102" s="31"/>
      <c r="T102" s="32">
        <f t="shared" si="7"/>
        <v>245</v>
      </c>
      <c r="U102" s="89">
        <v>258</v>
      </c>
      <c r="V102" s="84"/>
      <c r="W102" s="74" t="s">
        <v>372</v>
      </c>
      <c r="X102" s="31"/>
      <c r="Y102" s="31"/>
      <c r="Z102" s="31"/>
      <c r="AA102" s="31"/>
      <c r="AB102" s="31"/>
    </row>
    <row r="103" spans="1:28" ht="78.75">
      <c r="A103" s="148"/>
      <c r="B103" s="150"/>
      <c r="C103" s="150"/>
      <c r="D103" s="95">
        <v>96</v>
      </c>
      <c r="E103" s="38" t="s">
        <v>82</v>
      </c>
      <c r="F103" s="31"/>
      <c r="G103" s="31"/>
      <c r="H103" s="31"/>
      <c r="I103" s="31"/>
      <c r="J103" s="31"/>
      <c r="K103" s="31"/>
      <c r="L103" s="31">
        <f t="shared" si="2"/>
        <v>0</v>
      </c>
      <c r="M103" s="31"/>
      <c r="N103" s="31">
        <v>4</v>
      </c>
      <c r="O103" s="31"/>
      <c r="P103" s="31"/>
      <c r="Q103" s="51">
        <v>22.05</v>
      </c>
      <c r="R103" s="31"/>
      <c r="S103" s="31"/>
      <c r="T103" s="32">
        <f t="shared" si="7"/>
        <v>26.05</v>
      </c>
      <c r="U103" s="107">
        <v>27.41</v>
      </c>
      <c r="V103" s="84"/>
      <c r="W103" s="102" t="s">
        <v>524</v>
      </c>
      <c r="X103" s="31"/>
      <c r="Y103" s="31"/>
      <c r="Z103" s="31"/>
      <c r="AA103" s="31"/>
      <c r="AB103" s="31"/>
    </row>
    <row r="104" spans="1:28" ht="267.75">
      <c r="A104" s="148"/>
      <c r="B104" s="160" t="s">
        <v>249</v>
      </c>
      <c r="C104" s="160" t="s">
        <v>83</v>
      </c>
      <c r="D104" s="95">
        <v>97</v>
      </c>
      <c r="E104" s="111" t="s">
        <v>267</v>
      </c>
      <c r="F104" s="31"/>
      <c r="G104" s="31"/>
      <c r="H104" s="31"/>
      <c r="I104" s="31">
        <v>7</v>
      </c>
      <c r="J104" s="31"/>
      <c r="K104" s="31">
        <v>76</v>
      </c>
      <c r="L104" s="31">
        <f t="shared" ref="L104:L133" si="8">J104+K104</f>
        <v>76</v>
      </c>
      <c r="M104" s="31"/>
      <c r="N104" s="31">
        <v>38</v>
      </c>
      <c r="O104" s="31"/>
      <c r="P104" s="31">
        <v>38</v>
      </c>
      <c r="Q104" s="48">
        <v>19</v>
      </c>
      <c r="R104" s="31">
        <v>9.5</v>
      </c>
      <c r="S104" s="31"/>
      <c r="T104" s="32">
        <f t="shared" si="7"/>
        <v>187.5</v>
      </c>
      <c r="U104" s="32">
        <v>204.375</v>
      </c>
      <c r="V104" s="84"/>
      <c r="W104" s="71" t="s">
        <v>525</v>
      </c>
      <c r="X104" s="31"/>
      <c r="Y104" s="31"/>
      <c r="Z104" s="31"/>
      <c r="AA104" s="31"/>
      <c r="AB104" s="31"/>
    </row>
    <row r="105" spans="1:28" ht="31.5">
      <c r="A105" s="148"/>
      <c r="B105" s="160"/>
      <c r="C105" s="160"/>
      <c r="D105" s="95">
        <v>98</v>
      </c>
      <c r="E105" s="112" t="s">
        <v>182</v>
      </c>
      <c r="F105" s="31"/>
      <c r="G105" s="31"/>
      <c r="H105" s="31"/>
      <c r="I105" s="31"/>
      <c r="J105" s="31"/>
      <c r="K105" s="31"/>
      <c r="L105" s="31">
        <f t="shared" si="8"/>
        <v>0</v>
      </c>
      <c r="M105" s="31"/>
      <c r="N105" s="31"/>
      <c r="O105" s="31"/>
      <c r="P105" s="31"/>
      <c r="Q105" s="31"/>
      <c r="R105" s="31"/>
      <c r="S105" s="31"/>
      <c r="T105" s="32">
        <f t="shared" si="7"/>
        <v>0</v>
      </c>
      <c r="U105" s="32"/>
      <c r="V105" s="84"/>
      <c r="W105" s="71"/>
      <c r="X105" s="31"/>
      <c r="Y105" s="31"/>
      <c r="Z105" s="31"/>
      <c r="AA105" s="31"/>
      <c r="AB105" s="31"/>
    </row>
    <row r="106" spans="1:28" ht="157.5">
      <c r="A106" s="148"/>
      <c r="B106" s="160" t="s">
        <v>250</v>
      </c>
      <c r="C106" s="160" t="s">
        <v>84</v>
      </c>
      <c r="D106" s="95">
        <v>99</v>
      </c>
      <c r="E106" s="111" t="s">
        <v>171</v>
      </c>
      <c r="F106" s="31"/>
      <c r="G106" s="31"/>
      <c r="H106" s="31"/>
      <c r="I106" s="31"/>
      <c r="J106" s="31"/>
      <c r="K106" s="31"/>
      <c r="L106" s="31">
        <f t="shared" si="8"/>
        <v>0</v>
      </c>
      <c r="M106" s="31"/>
      <c r="N106" s="31">
        <v>26.72</v>
      </c>
      <c r="O106" s="31">
        <v>0</v>
      </c>
      <c r="P106" s="31">
        <v>0</v>
      </c>
      <c r="Q106" s="31">
        <v>8</v>
      </c>
      <c r="R106" s="31"/>
      <c r="S106" s="31"/>
      <c r="T106" s="32">
        <f t="shared" si="7"/>
        <v>34.72</v>
      </c>
      <c r="U106" s="32">
        <v>36.455999999999996</v>
      </c>
      <c r="V106" s="84"/>
      <c r="W106" s="71" t="s">
        <v>455</v>
      </c>
      <c r="X106" s="31"/>
      <c r="Y106" s="31"/>
      <c r="Z106" s="31"/>
      <c r="AA106" s="31"/>
      <c r="AB106" s="31"/>
    </row>
    <row r="107" spans="1:28">
      <c r="A107" s="148"/>
      <c r="B107" s="160"/>
      <c r="C107" s="160"/>
      <c r="D107" s="95">
        <v>100</v>
      </c>
      <c r="E107" s="38" t="s">
        <v>172</v>
      </c>
      <c r="F107" s="31"/>
      <c r="G107" s="31"/>
      <c r="H107" s="31"/>
      <c r="I107" s="31"/>
      <c r="J107" s="31"/>
      <c r="K107" s="31"/>
      <c r="L107" s="31">
        <f t="shared" si="8"/>
        <v>0</v>
      </c>
      <c r="M107" s="31"/>
      <c r="N107" s="31"/>
      <c r="O107" s="31"/>
      <c r="P107" s="31"/>
      <c r="Q107" s="31"/>
      <c r="R107" s="31"/>
      <c r="S107" s="31"/>
      <c r="T107" s="32">
        <f t="shared" si="7"/>
        <v>0</v>
      </c>
      <c r="U107" s="32"/>
      <c r="V107" s="84"/>
      <c r="W107" s="71"/>
      <c r="X107" s="31"/>
      <c r="Y107" s="31"/>
      <c r="Z107" s="31"/>
      <c r="AA107" s="31"/>
      <c r="AB107" s="31"/>
    </row>
    <row r="108" spans="1:28">
      <c r="A108" s="148"/>
      <c r="B108" s="160"/>
      <c r="C108" s="160"/>
      <c r="D108" s="95">
        <v>101</v>
      </c>
      <c r="E108" s="39" t="s">
        <v>332</v>
      </c>
      <c r="F108" s="31"/>
      <c r="G108" s="31"/>
      <c r="H108" s="31"/>
      <c r="I108" s="31"/>
      <c r="J108" s="31"/>
      <c r="K108" s="31"/>
      <c r="L108" s="31">
        <f t="shared" si="8"/>
        <v>0</v>
      </c>
      <c r="M108" s="31"/>
      <c r="N108" s="31"/>
      <c r="O108" s="31"/>
      <c r="P108" s="31"/>
      <c r="Q108" s="31"/>
      <c r="R108" s="31"/>
      <c r="S108" s="31"/>
      <c r="T108" s="32">
        <f t="shared" si="7"/>
        <v>0</v>
      </c>
      <c r="U108" s="32"/>
      <c r="V108" s="84"/>
      <c r="W108" s="71"/>
      <c r="X108" s="31"/>
      <c r="Y108" s="31"/>
      <c r="Z108" s="31"/>
      <c r="AA108" s="31"/>
      <c r="AB108" s="31"/>
    </row>
    <row r="109" spans="1:28" s="53" customFormat="1" ht="63">
      <c r="A109" s="148"/>
      <c r="B109" s="160"/>
      <c r="C109" s="160"/>
      <c r="D109" s="95">
        <v>102</v>
      </c>
      <c r="E109" s="39" t="s">
        <v>334</v>
      </c>
      <c r="F109" s="52"/>
      <c r="G109" s="52"/>
      <c r="H109" s="52"/>
      <c r="I109" s="52"/>
      <c r="J109" s="52"/>
      <c r="K109" s="52"/>
      <c r="L109" s="31">
        <f t="shared" si="8"/>
        <v>0</v>
      </c>
      <c r="M109" s="52"/>
      <c r="N109" s="52"/>
      <c r="O109" s="52"/>
      <c r="P109" s="52"/>
      <c r="Q109" s="52">
        <v>40</v>
      </c>
      <c r="R109" s="52"/>
      <c r="S109" s="52"/>
      <c r="T109" s="32">
        <f t="shared" si="7"/>
        <v>40</v>
      </c>
      <c r="U109" s="32">
        <f t="shared" ref="U109" si="9">T109*105/100</f>
        <v>42</v>
      </c>
      <c r="V109" s="84"/>
      <c r="W109" s="77" t="s">
        <v>526</v>
      </c>
      <c r="X109" s="52"/>
      <c r="Y109" s="52"/>
      <c r="Z109" s="52"/>
      <c r="AA109" s="52"/>
      <c r="AB109" s="52"/>
    </row>
    <row r="110" spans="1:28" ht="31.5">
      <c r="A110" s="148"/>
      <c r="B110" s="160"/>
      <c r="C110" s="160"/>
      <c r="D110" s="95">
        <v>103</v>
      </c>
      <c r="E110" s="39" t="s">
        <v>182</v>
      </c>
      <c r="F110" s="31"/>
      <c r="G110" s="31"/>
      <c r="H110" s="31"/>
      <c r="I110" s="97"/>
      <c r="J110" s="31"/>
      <c r="K110" s="31"/>
      <c r="L110" s="31">
        <f t="shared" si="8"/>
        <v>0</v>
      </c>
      <c r="M110" s="31"/>
      <c r="N110" s="31"/>
      <c r="O110" s="31"/>
      <c r="P110" s="31"/>
      <c r="Q110" s="31"/>
      <c r="R110" s="31"/>
      <c r="S110" s="31"/>
      <c r="T110" s="32">
        <f t="shared" si="7"/>
        <v>0</v>
      </c>
      <c r="U110" s="32"/>
      <c r="V110" s="84"/>
      <c r="W110" s="86"/>
      <c r="X110" s="31"/>
      <c r="Y110" s="31"/>
      <c r="Z110" s="31"/>
      <c r="AA110" s="31"/>
      <c r="AB110" s="31"/>
    </row>
    <row r="111" spans="1:28" ht="167.25" customHeight="1">
      <c r="A111" s="148"/>
      <c r="B111" s="160" t="s">
        <v>251</v>
      </c>
      <c r="C111" s="160" t="s">
        <v>85</v>
      </c>
      <c r="D111" s="95">
        <v>104</v>
      </c>
      <c r="E111" s="38" t="s">
        <v>346</v>
      </c>
      <c r="F111" s="31"/>
      <c r="G111" s="31"/>
      <c r="H111" s="31"/>
      <c r="I111" s="31"/>
      <c r="J111" s="31"/>
      <c r="K111" s="31"/>
      <c r="L111" s="31">
        <f t="shared" si="8"/>
        <v>0</v>
      </c>
      <c r="M111" s="31"/>
      <c r="N111" s="31">
        <v>11.4</v>
      </c>
      <c r="O111" s="31"/>
      <c r="P111" s="31">
        <v>73</v>
      </c>
      <c r="Q111" s="31">
        <v>20.55</v>
      </c>
      <c r="R111" s="31"/>
      <c r="S111" s="31"/>
      <c r="T111" s="32">
        <f t="shared" si="7"/>
        <v>104.95</v>
      </c>
      <c r="U111" s="32">
        <f>92+21.57</f>
        <v>113.57</v>
      </c>
      <c r="V111" s="84"/>
      <c r="W111" s="71" t="s">
        <v>527</v>
      </c>
      <c r="X111" s="31"/>
      <c r="Y111" s="31"/>
      <c r="Z111" s="31"/>
      <c r="AA111" s="31"/>
      <c r="AB111" s="31"/>
    </row>
    <row r="112" spans="1:28" ht="31.5">
      <c r="A112" s="148"/>
      <c r="B112" s="160"/>
      <c r="C112" s="160"/>
      <c r="D112" s="95">
        <v>105</v>
      </c>
      <c r="E112" s="30" t="s">
        <v>347</v>
      </c>
      <c r="F112" s="31"/>
      <c r="G112" s="31"/>
      <c r="H112" s="31"/>
      <c r="I112" s="31"/>
      <c r="J112" s="31"/>
      <c r="K112" s="31"/>
      <c r="L112" s="31">
        <f t="shared" si="8"/>
        <v>0</v>
      </c>
      <c r="M112" s="31"/>
      <c r="N112" s="31"/>
      <c r="O112" s="31"/>
      <c r="P112" s="31"/>
      <c r="Q112" s="31"/>
      <c r="R112" s="31"/>
      <c r="S112" s="31"/>
      <c r="T112" s="32">
        <f t="shared" si="7"/>
        <v>0</v>
      </c>
      <c r="U112" s="32"/>
      <c r="V112" s="84"/>
      <c r="W112" s="71"/>
      <c r="X112" s="31"/>
      <c r="Y112" s="31"/>
      <c r="Z112" s="31"/>
      <c r="AA112" s="31"/>
      <c r="AB112" s="31"/>
    </row>
    <row r="113" spans="1:28" ht="219" customHeight="1">
      <c r="A113" s="148"/>
      <c r="B113" s="160"/>
      <c r="C113" s="160"/>
      <c r="D113" s="95">
        <v>106</v>
      </c>
      <c r="E113" s="38" t="s">
        <v>174</v>
      </c>
      <c r="F113" s="31"/>
      <c r="G113" s="31"/>
      <c r="H113" s="31"/>
      <c r="I113" s="31"/>
      <c r="J113" s="31"/>
      <c r="K113" s="31">
        <v>19</v>
      </c>
      <c r="L113" s="31">
        <f t="shared" si="8"/>
        <v>19</v>
      </c>
      <c r="M113" s="31"/>
      <c r="N113" s="31">
        <v>15.4</v>
      </c>
      <c r="O113" s="31"/>
      <c r="P113" s="31">
        <v>10.6</v>
      </c>
      <c r="Q113" s="31"/>
      <c r="R113" s="31">
        <v>19.760000000000002</v>
      </c>
      <c r="S113" s="31"/>
      <c r="T113" s="32">
        <f t="shared" si="7"/>
        <v>64.760000000000005</v>
      </c>
      <c r="U113" s="32">
        <v>70.58</v>
      </c>
      <c r="V113" s="84"/>
      <c r="W113" s="71" t="s">
        <v>450</v>
      </c>
      <c r="X113" s="31"/>
      <c r="Y113" s="31"/>
      <c r="Z113" s="31"/>
      <c r="AA113" s="31"/>
      <c r="AB113" s="31"/>
    </row>
    <row r="114" spans="1:28" ht="409.5">
      <c r="A114" s="148"/>
      <c r="B114" s="160" t="s">
        <v>252</v>
      </c>
      <c r="C114" s="160" t="s">
        <v>86</v>
      </c>
      <c r="D114" s="95">
        <v>107</v>
      </c>
      <c r="E114" s="38" t="s">
        <v>175</v>
      </c>
      <c r="F114" s="31"/>
      <c r="G114" s="31"/>
      <c r="H114" s="31"/>
      <c r="I114" s="97">
        <v>35</v>
      </c>
      <c r="J114" s="31">
        <v>0</v>
      </c>
      <c r="K114" s="31">
        <v>273.60000000000002</v>
      </c>
      <c r="L114" s="31">
        <f t="shared" si="8"/>
        <v>273.60000000000002</v>
      </c>
      <c r="M114" s="99">
        <f>138+948.36</f>
        <v>1086.3600000000001</v>
      </c>
      <c r="N114" s="99">
        <v>0</v>
      </c>
      <c r="O114" s="99">
        <v>0</v>
      </c>
      <c r="P114" s="99">
        <f>38+95</f>
        <v>133</v>
      </c>
      <c r="Q114" s="99">
        <v>0</v>
      </c>
      <c r="R114" s="100">
        <v>0</v>
      </c>
      <c r="S114" s="99">
        <v>0</v>
      </c>
      <c r="T114" s="32">
        <f t="shared" si="7"/>
        <v>1527.96</v>
      </c>
      <c r="U114" s="32">
        <v>1970.3040000000001</v>
      </c>
      <c r="V114" s="84"/>
      <c r="W114" s="71" t="s">
        <v>456</v>
      </c>
      <c r="X114" s="31"/>
      <c r="Y114" s="31"/>
      <c r="Z114" s="31"/>
      <c r="AA114" s="31"/>
      <c r="AB114" s="31"/>
    </row>
    <row r="115" spans="1:28" ht="157.5">
      <c r="A115" s="148"/>
      <c r="B115" s="160"/>
      <c r="C115" s="160"/>
      <c r="D115" s="95">
        <v>108</v>
      </c>
      <c r="E115" s="38" t="s">
        <v>176</v>
      </c>
      <c r="F115" s="31"/>
      <c r="G115" s="31"/>
      <c r="H115" s="31"/>
      <c r="I115" s="97">
        <v>193</v>
      </c>
      <c r="J115" s="97">
        <v>0</v>
      </c>
      <c r="K115" s="97">
        <v>144.5</v>
      </c>
      <c r="L115" s="97">
        <f t="shared" si="8"/>
        <v>144.5</v>
      </c>
      <c r="M115" s="31"/>
      <c r="N115" s="31"/>
      <c r="O115" s="31"/>
      <c r="P115" s="97">
        <v>338.56</v>
      </c>
      <c r="Q115" s="31"/>
      <c r="R115" s="31"/>
      <c r="S115" s="31"/>
      <c r="T115" s="32">
        <f t="shared" si="7"/>
        <v>676.06</v>
      </c>
      <c r="U115" s="32">
        <v>586.21500000000003</v>
      </c>
      <c r="V115" s="84"/>
      <c r="W115" s="71" t="s">
        <v>457</v>
      </c>
      <c r="X115" s="31"/>
      <c r="Y115" s="31"/>
      <c r="Z115" s="31"/>
      <c r="AA115" s="31"/>
      <c r="AB115" s="31"/>
    </row>
    <row r="116" spans="1:28" ht="31.5">
      <c r="A116" s="148"/>
      <c r="B116" s="160"/>
      <c r="C116" s="160"/>
      <c r="D116" s="95">
        <v>109</v>
      </c>
      <c r="E116" s="38" t="s">
        <v>290</v>
      </c>
      <c r="F116" s="31"/>
      <c r="G116" s="31"/>
      <c r="H116" s="31"/>
      <c r="I116" s="31"/>
      <c r="J116" s="31"/>
      <c r="K116" s="31"/>
      <c r="L116" s="31">
        <f t="shared" si="8"/>
        <v>0</v>
      </c>
      <c r="M116" s="31"/>
      <c r="N116" s="31"/>
      <c r="O116" s="31"/>
      <c r="P116" s="31"/>
      <c r="Q116" s="31"/>
      <c r="R116" s="31"/>
      <c r="S116" s="31"/>
      <c r="T116" s="32">
        <f t="shared" si="7"/>
        <v>0</v>
      </c>
      <c r="U116" s="32">
        <v>0</v>
      </c>
      <c r="V116" s="84"/>
      <c r="W116" s="71"/>
      <c r="X116" s="31"/>
      <c r="Y116" s="31"/>
      <c r="Z116" s="31"/>
      <c r="AA116" s="31"/>
      <c r="AB116" s="31"/>
    </row>
    <row r="117" spans="1:28" ht="409.5">
      <c r="A117" s="148"/>
      <c r="B117" s="160"/>
      <c r="C117" s="160"/>
      <c r="D117" s="95">
        <v>110</v>
      </c>
      <c r="E117" s="38" t="s">
        <v>193</v>
      </c>
      <c r="F117" s="31"/>
      <c r="G117" s="31"/>
      <c r="H117" s="31"/>
      <c r="I117" s="31">
        <v>683</v>
      </c>
      <c r="J117" s="31">
        <v>0</v>
      </c>
      <c r="K117" s="31"/>
      <c r="L117" s="31">
        <f t="shared" si="8"/>
        <v>0</v>
      </c>
      <c r="M117" s="31">
        <v>402.48</v>
      </c>
      <c r="N117" s="31">
        <v>1575.63</v>
      </c>
      <c r="O117" s="31">
        <v>1979.5</v>
      </c>
      <c r="P117" s="31">
        <v>611.6</v>
      </c>
      <c r="Q117" s="31">
        <v>810.89</v>
      </c>
      <c r="R117" s="31">
        <v>238</v>
      </c>
      <c r="S117" s="31">
        <v>0</v>
      </c>
      <c r="T117" s="32">
        <f t="shared" si="7"/>
        <v>6301.1000000000013</v>
      </c>
      <c r="U117" s="32">
        <v>6854.9250000000011</v>
      </c>
      <c r="V117" s="84"/>
      <c r="W117" s="71" t="s">
        <v>528</v>
      </c>
      <c r="X117" s="31"/>
      <c r="Y117" s="31"/>
      <c r="Z117" s="31"/>
      <c r="AA117" s="31"/>
      <c r="AB117" s="31"/>
    </row>
    <row r="118" spans="1:28" ht="157.5">
      <c r="A118" s="148"/>
      <c r="B118" s="160"/>
      <c r="C118" s="160"/>
      <c r="D118" s="95">
        <v>111</v>
      </c>
      <c r="E118" s="39" t="s">
        <v>182</v>
      </c>
      <c r="F118" s="31"/>
      <c r="G118" s="31"/>
      <c r="H118" s="31"/>
      <c r="I118" s="31"/>
      <c r="J118" s="31"/>
      <c r="K118" s="31"/>
      <c r="L118" s="31">
        <f t="shared" si="8"/>
        <v>0</v>
      </c>
      <c r="M118" s="31"/>
      <c r="N118" s="31">
        <v>292.5</v>
      </c>
      <c r="O118" s="31"/>
      <c r="P118" s="31">
        <v>0</v>
      </c>
      <c r="Q118" s="31"/>
      <c r="R118" s="31"/>
      <c r="S118" s="31">
        <v>18</v>
      </c>
      <c r="T118" s="32">
        <f t="shared" si="7"/>
        <v>310.5</v>
      </c>
      <c r="U118" s="32">
        <v>307.125</v>
      </c>
      <c r="V118" s="84"/>
      <c r="W118" s="71" t="s">
        <v>458</v>
      </c>
      <c r="X118" s="31"/>
      <c r="Y118" s="31"/>
      <c r="Z118" s="31"/>
      <c r="AA118" s="31"/>
      <c r="AB118" s="31"/>
    </row>
    <row r="119" spans="1:28" ht="78.75">
      <c r="A119" s="148"/>
      <c r="B119" s="150" t="s">
        <v>253</v>
      </c>
      <c r="C119" s="150" t="s">
        <v>87</v>
      </c>
      <c r="D119" s="95">
        <v>112</v>
      </c>
      <c r="E119" s="38" t="s">
        <v>268</v>
      </c>
      <c r="F119" s="31"/>
      <c r="G119" s="31"/>
      <c r="H119" s="31"/>
      <c r="I119" s="31"/>
      <c r="J119" s="31"/>
      <c r="K119" s="31"/>
      <c r="L119" s="31">
        <f t="shared" si="8"/>
        <v>0</v>
      </c>
      <c r="M119" s="31"/>
      <c r="N119" s="31"/>
      <c r="O119" s="31"/>
      <c r="P119" s="32">
        <v>3073.4684999999999</v>
      </c>
      <c r="Q119" s="31">
        <v>20</v>
      </c>
      <c r="R119" s="31">
        <v>10</v>
      </c>
      <c r="S119" s="31"/>
      <c r="T119" s="32">
        <f t="shared" si="7"/>
        <v>3103.4684999999999</v>
      </c>
      <c r="U119" s="32">
        <v>3506.91941</v>
      </c>
      <c r="V119" s="84"/>
      <c r="W119" s="74" t="s">
        <v>379</v>
      </c>
      <c r="X119" s="31"/>
      <c r="Y119" s="31"/>
      <c r="Z119" s="31"/>
      <c r="AA119" s="31"/>
      <c r="AB119" s="31"/>
    </row>
    <row r="120" spans="1:28" ht="31.5">
      <c r="A120" s="148"/>
      <c r="B120" s="150"/>
      <c r="C120" s="150"/>
      <c r="D120" s="95">
        <v>113</v>
      </c>
      <c r="E120" s="38" t="s">
        <v>154</v>
      </c>
      <c r="F120" s="31"/>
      <c r="G120" s="31"/>
      <c r="H120" s="31"/>
      <c r="I120" s="31"/>
      <c r="J120" s="31"/>
      <c r="K120" s="31"/>
      <c r="L120" s="31">
        <f t="shared" si="8"/>
        <v>0</v>
      </c>
      <c r="M120" s="31"/>
      <c r="N120" s="31"/>
      <c r="O120" s="31"/>
      <c r="P120" s="31"/>
      <c r="Q120" s="31"/>
      <c r="R120" s="31"/>
      <c r="S120" s="31"/>
      <c r="T120" s="32">
        <f t="shared" si="7"/>
        <v>0</v>
      </c>
      <c r="U120" s="32"/>
      <c r="V120" s="84"/>
      <c r="W120" s="71"/>
      <c r="X120" s="31"/>
      <c r="Y120" s="31"/>
      <c r="Z120" s="31"/>
      <c r="AA120" s="31"/>
      <c r="AB120" s="31"/>
    </row>
    <row r="121" spans="1:28" ht="110.25">
      <c r="A121" s="148"/>
      <c r="B121" s="43" t="s">
        <v>254</v>
      </c>
      <c r="C121" s="43" t="s">
        <v>88</v>
      </c>
      <c r="D121" s="95">
        <v>114</v>
      </c>
      <c r="E121" s="38" t="s">
        <v>237</v>
      </c>
      <c r="F121" s="31"/>
      <c r="G121" s="31"/>
      <c r="H121" s="31"/>
      <c r="I121" s="31"/>
      <c r="J121" s="31"/>
      <c r="K121" s="31"/>
      <c r="L121" s="31">
        <f t="shared" si="8"/>
        <v>0</v>
      </c>
      <c r="M121" s="31"/>
      <c r="N121" s="31">
        <v>2.4</v>
      </c>
      <c r="O121" s="31"/>
      <c r="P121" s="31">
        <v>0</v>
      </c>
      <c r="Q121" s="31">
        <v>4.0999999999999996</v>
      </c>
      <c r="R121" s="31">
        <v>0.4</v>
      </c>
      <c r="S121" s="31">
        <v>2</v>
      </c>
      <c r="T121" s="32">
        <f t="shared" si="7"/>
        <v>8.9</v>
      </c>
      <c r="U121" s="32">
        <f>9.79+4.3</f>
        <v>14.09</v>
      </c>
      <c r="V121" s="84"/>
      <c r="W121" s="71" t="s">
        <v>413</v>
      </c>
      <c r="X121" s="31"/>
      <c r="Y121" s="31"/>
      <c r="Z121" s="31"/>
      <c r="AA121" s="31"/>
      <c r="AB121" s="31"/>
    </row>
    <row r="122" spans="1:28" ht="78.75">
      <c r="A122" s="148"/>
      <c r="B122" s="150" t="s">
        <v>255</v>
      </c>
      <c r="C122" s="150" t="s">
        <v>89</v>
      </c>
      <c r="D122" s="95">
        <v>115</v>
      </c>
      <c r="E122" s="38" t="s">
        <v>178</v>
      </c>
      <c r="F122" s="31"/>
      <c r="G122" s="31"/>
      <c r="H122" s="31"/>
      <c r="I122" s="31">
        <v>148</v>
      </c>
      <c r="J122" s="31"/>
      <c r="K122" s="31"/>
      <c r="L122" s="31">
        <f t="shared" si="8"/>
        <v>0</v>
      </c>
      <c r="M122" s="31"/>
      <c r="N122" s="31"/>
      <c r="O122" s="31"/>
      <c r="P122" s="31"/>
      <c r="Q122" s="31"/>
      <c r="R122" s="31"/>
      <c r="S122" s="31"/>
      <c r="T122" s="32">
        <f t="shared" si="7"/>
        <v>148</v>
      </c>
      <c r="U122" s="32"/>
      <c r="V122" s="84"/>
      <c r="W122" s="71" t="s">
        <v>410</v>
      </c>
      <c r="X122" s="31"/>
      <c r="Y122" s="31"/>
      <c r="Z122" s="31"/>
      <c r="AA122" s="31"/>
      <c r="AB122" s="31"/>
    </row>
    <row r="123" spans="1:28" ht="204.75">
      <c r="A123" s="148"/>
      <c r="B123" s="150"/>
      <c r="C123" s="150"/>
      <c r="D123" s="95">
        <v>116</v>
      </c>
      <c r="E123" s="38" t="s">
        <v>177</v>
      </c>
      <c r="F123" s="31"/>
      <c r="G123" s="31"/>
      <c r="H123" s="31"/>
      <c r="I123" s="31">
        <v>83.5</v>
      </c>
      <c r="J123" s="31"/>
      <c r="K123" s="31"/>
      <c r="L123" s="31">
        <f t="shared" si="8"/>
        <v>0</v>
      </c>
      <c r="M123" s="31">
        <v>135</v>
      </c>
      <c r="N123" s="31"/>
      <c r="O123" s="31"/>
      <c r="P123" s="31"/>
      <c r="Q123" s="97">
        <v>33.81</v>
      </c>
      <c r="R123" s="31"/>
      <c r="S123" s="31"/>
      <c r="T123" s="32">
        <f t="shared" si="7"/>
        <v>252.31</v>
      </c>
      <c r="U123" s="32">
        <v>176.1</v>
      </c>
      <c r="V123" s="84"/>
      <c r="W123" s="71" t="s">
        <v>529</v>
      </c>
      <c r="X123" s="31"/>
      <c r="Y123" s="31"/>
      <c r="Z123" s="31"/>
      <c r="AA123" s="31"/>
      <c r="AB123" s="31"/>
    </row>
    <row r="124" spans="1:28">
      <c r="A124" s="148"/>
      <c r="B124" s="150"/>
      <c r="C124" s="150"/>
      <c r="D124" s="95">
        <v>117</v>
      </c>
      <c r="E124" s="38" t="s">
        <v>194</v>
      </c>
      <c r="F124" s="31"/>
      <c r="G124" s="31"/>
      <c r="H124" s="31"/>
      <c r="I124" s="31"/>
      <c r="J124" s="31"/>
      <c r="K124" s="31"/>
      <c r="L124" s="31">
        <f t="shared" si="8"/>
        <v>0</v>
      </c>
      <c r="M124" s="31"/>
      <c r="N124" s="31"/>
      <c r="O124" s="31"/>
      <c r="P124" s="31"/>
      <c r="Q124" s="31"/>
      <c r="R124" s="31"/>
      <c r="S124" s="31"/>
      <c r="T124" s="32">
        <f t="shared" si="7"/>
        <v>0</v>
      </c>
      <c r="U124" s="32"/>
      <c r="V124" s="84"/>
      <c r="W124" s="71"/>
      <c r="X124" s="31"/>
      <c r="Y124" s="31"/>
      <c r="Z124" s="31"/>
      <c r="AA124" s="31"/>
      <c r="AB124" s="31"/>
    </row>
    <row r="125" spans="1:28" ht="53.25" customHeight="1">
      <c r="A125" s="148"/>
      <c r="B125" s="150"/>
      <c r="C125" s="150"/>
      <c r="D125" s="95">
        <v>118</v>
      </c>
      <c r="E125" s="39" t="s">
        <v>182</v>
      </c>
      <c r="F125" s="31"/>
      <c r="G125" s="31"/>
      <c r="H125" s="31"/>
      <c r="I125" s="31"/>
      <c r="J125" s="31"/>
      <c r="K125" s="31"/>
      <c r="L125" s="31">
        <f t="shared" si="8"/>
        <v>0</v>
      </c>
      <c r="M125" s="31"/>
      <c r="N125" s="31"/>
      <c r="O125" s="31"/>
      <c r="P125" s="31"/>
      <c r="Q125" s="97">
        <v>0</v>
      </c>
      <c r="R125" s="31"/>
      <c r="S125" s="31"/>
      <c r="T125" s="32">
        <f t="shared" si="7"/>
        <v>0</v>
      </c>
      <c r="U125" s="32"/>
      <c r="V125" s="84"/>
      <c r="W125" s="71"/>
      <c r="X125" s="31"/>
      <c r="Y125" s="31"/>
      <c r="Z125" s="31"/>
      <c r="AA125" s="31"/>
      <c r="AB125" s="31"/>
    </row>
    <row r="126" spans="1:28" ht="409.5">
      <c r="A126" s="148"/>
      <c r="B126" s="43" t="s">
        <v>256</v>
      </c>
      <c r="C126" s="43" t="s">
        <v>90</v>
      </c>
      <c r="D126" s="95">
        <v>119</v>
      </c>
      <c r="E126" s="39" t="s">
        <v>238</v>
      </c>
      <c r="F126" s="31"/>
      <c r="G126" s="31"/>
      <c r="H126" s="31"/>
      <c r="I126" s="31">
        <v>6</v>
      </c>
      <c r="J126" s="31"/>
      <c r="K126" s="31">
        <v>18</v>
      </c>
      <c r="L126" s="31">
        <f t="shared" si="8"/>
        <v>18</v>
      </c>
      <c r="M126" s="31">
        <v>0</v>
      </c>
      <c r="N126" s="31">
        <v>25.45</v>
      </c>
      <c r="O126" s="31">
        <v>0</v>
      </c>
      <c r="P126" s="31">
        <v>12</v>
      </c>
      <c r="Q126" s="31">
        <v>14</v>
      </c>
      <c r="R126" s="31">
        <v>0</v>
      </c>
      <c r="S126" s="31"/>
      <c r="T126" s="32">
        <f t="shared" si="7"/>
        <v>75.45</v>
      </c>
      <c r="U126" s="32">
        <v>79.222499999999997</v>
      </c>
      <c r="V126" s="84"/>
      <c r="W126" s="71" t="s">
        <v>470</v>
      </c>
      <c r="X126" s="31"/>
      <c r="Y126" s="31"/>
      <c r="Z126" s="31"/>
      <c r="AA126" s="31"/>
      <c r="AB126" s="31"/>
    </row>
    <row r="127" spans="1:28" ht="126">
      <c r="A127" s="148"/>
      <c r="B127" s="43" t="s">
        <v>257</v>
      </c>
      <c r="C127" s="43" t="s">
        <v>91</v>
      </c>
      <c r="D127" s="95">
        <v>120</v>
      </c>
      <c r="E127" s="39" t="s">
        <v>239</v>
      </c>
      <c r="F127" s="31"/>
      <c r="G127" s="31"/>
      <c r="H127" s="31"/>
      <c r="I127" s="31"/>
      <c r="J127" s="31"/>
      <c r="K127" s="31"/>
      <c r="L127" s="31">
        <f t="shared" si="8"/>
        <v>0</v>
      </c>
      <c r="M127" s="31">
        <v>60.5</v>
      </c>
      <c r="N127" s="31">
        <v>3.3</v>
      </c>
      <c r="O127" s="31"/>
      <c r="P127" s="31">
        <v>4.62</v>
      </c>
      <c r="Q127" s="31">
        <v>13</v>
      </c>
      <c r="R127" s="31"/>
      <c r="S127" s="31"/>
      <c r="T127" s="32">
        <f t="shared" si="7"/>
        <v>81.42</v>
      </c>
      <c r="U127" s="32">
        <f>89.562+13.65</f>
        <v>103.212</v>
      </c>
      <c r="V127" s="84"/>
      <c r="W127" s="71" t="s">
        <v>414</v>
      </c>
      <c r="X127" s="31"/>
      <c r="Y127" s="31"/>
      <c r="Z127" s="31"/>
      <c r="AA127" s="31"/>
      <c r="AB127" s="31"/>
    </row>
    <row r="128" spans="1:28" ht="189">
      <c r="A128" s="148"/>
      <c r="B128" s="160" t="s">
        <v>258</v>
      </c>
      <c r="C128" s="160" t="s">
        <v>92</v>
      </c>
      <c r="D128" s="95">
        <v>121</v>
      </c>
      <c r="E128" s="39" t="s">
        <v>179</v>
      </c>
      <c r="F128" s="31"/>
      <c r="G128" s="31"/>
      <c r="H128" s="31"/>
      <c r="I128" s="31">
        <v>240</v>
      </c>
      <c r="J128" s="31"/>
      <c r="K128" s="31"/>
      <c r="L128" s="31">
        <f t="shared" si="8"/>
        <v>0</v>
      </c>
      <c r="M128" s="31"/>
      <c r="N128" s="31"/>
      <c r="O128" s="31"/>
      <c r="P128" s="31"/>
      <c r="Q128" s="97">
        <v>11.5</v>
      </c>
      <c r="R128" s="31"/>
      <c r="S128" s="31"/>
      <c r="T128" s="32">
        <f t="shared" si="7"/>
        <v>251.5</v>
      </c>
      <c r="U128" s="32">
        <f t="shared" ref="U128" si="10">T128*105/100</f>
        <v>264.07499999999999</v>
      </c>
      <c r="V128" s="84"/>
      <c r="W128" s="71" t="s">
        <v>531</v>
      </c>
      <c r="X128" s="31"/>
      <c r="Y128" s="31"/>
      <c r="Z128" s="31"/>
      <c r="AA128" s="31"/>
      <c r="AB128" s="31"/>
    </row>
    <row r="129" spans="1:28">
      <c r="A129" s="148"/>
      <c r="B129" s="160"/>
      <c r="C129" s="160"/>
      <c r="D129" s="95">
        <v>122</v>
      </c>
      <c r="E129" s="39" t="s">
        <v>180</v>
      </c>
      <c r="F129" s="31"/>
      <c r="G129" s="31"/>
      <c r="H129" s="31"/>
      <c r="I129" s="31"/>
      <c r="J129" s="31"/>
      <c r="K129" s="31"/>
      <c r="L129" s="31">
        <f t="shared" si="8"/>
        <v>0</v>
      </c>
      <c r="M129" s="31"/>
      <c r="N129" s="31"/>
      <c r="O129" s="31"/>
      <c r="P129" s="31"/>
      <c r="Q129" s="31"/>
      <c r="R129" s="31"/>
      <c r="S129" s="31"/>
      <c r="T129" s="32">
        <f t="shared" si="7"/>
        <v>0</v>
      </c>
      <c r="U129" s="32"/>
      <c r="V129" s="84"/>
      <c r="W129" s="71"/>
      <c r="X129" s="31"/>
      <c r="Y129" s="31"/>
      <c r="Z129" s="31"/>
      <c r="AA129" s="31"/>
      <c r="AB129" s="31"/>
    </row>
    <row r="130" spans="1:28" ht="160.5" customHeight="1">
      <c r="A130" s="148"/>
      <c r="B130" s="160"/>
      <c r="C130" s="160"/>
      <c r="D130" s="95">
        <v>123</v>
      </c>
      <c r="E130" s="39" t="s">
        <v>269</v>
      </c>
      <c r="F130" s="31"/>
      <c r="G130" s="31"/>
      <c r="H130" s="31"/>
      <c r="I130" s="31"/>
      <c r="J130" s="31"/>
      <c r="K130" s="31"/>
      <c r="L130" s="31">
        <f t="shared" si="8"/>
        <v>0</v>
      </c>
      <c r="M130" s="31"/>
      <c r="N130" s="54">
        <v>30.5</v>
      </c>
      <c r="O130" s="31"/>
      <c r="P130" s="31"/>
      <c r="Q130" s="125"/>
      <c r="R130" s="31"/>
      <c r="S130" s="31"/>
      <c r="T130" s="32">
        <f t="shared" si="7"/>
        <v>30.5</v>
      </c>
      <c r="U130" s="32">
        <f>44.1+12.07</f>
        <v>56.17</v>
      </c>
      <c r="V130" s="84"/>
      <c r="W130" s="71" t="s">
        <v>530</v>
      </c>
      <c r="X130" s="31"/>
      <c r="Y130" s="31"/>
      <c r="Z130" s="31"/>
      <c r="AA130" s="31"/>
      <c r="AB130" s="31"/>
    </row>
    <row r="131" spans="1:28">
      <c r="A131" s="148"/>
      <c r="B131" s="160" t="s">
        <v>245</v>
      </c>
      <c r="C131" s="160" t="s">
        <v>93</v>
      </c>
      <c r="D131" s="95">
        <v>124</v>
      </c>
      <c r="E131" s="39" t="s">
        <v>181</v>
      </c>
      <c r="F131" s="31"/>
      <c r="G131" s="31"/>
      <c r="H131" s="31"/>
      <c r="I131" s="31"/>
      <c r="J131" s="31"/>
      <c r="K131" s="31"/>
      <c r="L131" s="31">
        <f t="shared" si="8"/>
        <v>0</v>
      </c>
      <c r="M131" s="31"/>
      <c r="N131" s="31"/>
      <c r="O131" s="31"/>
      <c r="P131" s="31"/>
      <c r="Q131" s="31"/>
      <c r="R131" s="31"/>
      <c r="S131" s="31"/>
      <c r="T131" s="32">
        <f t="shared" si="7"/>
        <v>0</v>
      </c>
      <c r="U131" s="32"/>
      <c r="V131" s="84"/>
      <c r="W131" s="71"/>
      <c r="X131" s="31"/>
      <c r="Y131" s="31"/>
      <c r="Z131" s="31"/>
      <c r="AA131" s="31"/>
      <c r="AB131" s="31"/>
    </row>
    <row r="132" spans="1:28" ht="31.5">
      <c r="A132" s="148"/>
      <c r="B132" s="160"/>
      <c r="C132" s="160"/>
      <c r="D132" s="95">
        <v>125</v>
      </c>
      <c r="E132" s="39" t="s">
        <v>183</v>
      </c>
      <c r="F132" s="31"/>
      <c r="G132" s="31"/>
      <c r="H132" s="31"/>
      <c r="I132" s="31"/>
      <c r="J132" s="31"/>
      <c r="K132" s="31"/>
      <c r="L132" s="31">
        <f t="shared" si="8"/>
        <v>0</v>
      </c>
      <c r="M132" s="31"/>
      <c r="N132" s="31"/>
      <c r="O132" s="31"/>
      <c r="P132" s="31"/>
      <c r="Q132" s="31"/>
      <c r="R132" s="31"/>
      <c r="S132" s="31"/>
      <c r="T132" s="32">
        <f t="shared" si="7"/>
        <v>0</v>
      </c>
      <c r="U132" s="32"/>
      <c r="V132" s="84"/>
      <c r="W132" s="71"/>
      <c r="X132" s="31"/>
      <c r="Y132" s="31"/>
      <c r="Z132" s="31"/>
      <c r="AA132" s="31"/>
      <c r="AB132" s="31"/>
    </row>
    <row r="133" spans="1:28" ht="47.25">
      <c r="A133" s="148"/>
      <c r="B133" s="43" t="s">
        <v>244</v>
      </c>
      <c r="C133" s="43" t="s">
        <v>75</v>
      </c>
      <c r="D133" s="95">
        <v>126</v>
      </c>
      <c r="E133" s="39" t="s">
        <v>236</v>
      </c>
      <c r="F133" s="31"/>
      <c r="G133" s="31"/>
      <c r="H133" s="31"/>
      <c r="I133" s="31"/>
      <c r="J133" s="31"/>
      <c r="K133" s="31"/>
      <c r="L133" s="31">
        <f t="shared" si="8"/>
        <v>0</v>
      </c>
      <c r="M133" s="31"/>
      <c r="N133" s="31"/>
      <c r="O133" s="31"/>
      <c r="P133" s="31"/>
      <c r="Q133" s="31"/>
      <c r="R133" s="31"/>
      <c r="S133" s="31"/>
      <c r="T133" s="32">
        <f t="shared" si="7"/>
        <v>0</v>
      </c>
      <c r="U133" s="32"/>
      <c r="V133" s="84"/>
      <c r="W133" s="71"/>
      <c r="X133" s="31"/>
      <c r="Y133" s="31"/>
      <c r="Z133" s="31"/>
      <c r="AA133" s="31"/>
      <c r="AB133" s="31"/>
    </row>
    <row r="134" spans="1:28" s="50" customFormat="1">
      <c r="A134" s="149"/>
      <c r="B134" s="157" t="s">
        <v>279</v>
      </c>
      <c r="C134" s="158"/>
      <c r="D134" s="159"/>
      <c r="E134" s="45"/>
      <c r="F134" s="46">
        <f>SUM(F94:F133)</f>
        <v>0</v>
      </c>
      <c r="G134" s="46">
        <f t="shared" ref="G134:AA134" si="11">SUM(G94:G133)</f>
        <v>0</v>
      </c>
      <c r="H134" s="46"/>
      <c r="I134" s="46">
        <f t="shared" si="11"/>
        <v>2018.5</v>
      </c>
      <c r="J134" s="46">
        <f t="shared" si="11"/>
        <v>0</v>
      </c>
      <c r="K134" s="46">
        <f t="shared" si="11"/>
        <v>531.1</v>
      </c>
      <c r="L134" s="46">
        <f t="shared" si="11"/>
        <v>531.1</v>
      </c>
      <c r="M134" s="46">
        <f t="shared" si="11"/>
        <v>1684.3400000000001</v>
      </c>
      <c r="N134" s="46">
        <f t="shared" si="11"/>
        <v>2025.3000000000002</v>
      </c>
      <c r="O134" s="46">
        <f t="shared" si="11"/>
        <v>1979.5</v>
      </c>
      <c r="P134" s="46">
        <f t="shared" si="11"/>
        <v>7552.8485000000001</v>
      </c>
      <c r="Q134" s="46">
        <f t="shared" si="11"/>
        <v>1016.9000000000001</v>
      </c>
      <c r="R134" s="46">
        <f t="shared" si="11"/>
        <v>277.65999999999997</v>
      </c>
      <c r="S134" s="46">
        <f t="shared" si="11"/>
        <v>20</v>
      </c>
      <c r="T134" s="88">
        <f t="shared" si="11"/>
        <v>17106.148500000003</v>
      </c>
      <c r="U134" s="88">
        <f t="shared" si="11"/>
        <v>18528.748909999998</v>
      </c>
      <c r="V134" s="84"/>
      <c r="W134" s="76"/>
      <c r="X134" s="46">
        <f t="shared" si="11"/>
        <v>0</v>
      </c>
      <c r="Y134" s="46">
        <f t="shared" si="11"/>
        <v>0</v>
      </c>
      <c r="Z134" s="46">
        <f t="shared" si="11"/>
        <v>0</v>
      </c>
      <c r="AA134" s="46">
        <f t="shared" si="11"/>
        <v>0</v>
      </c>
      <c r="AB134" s="46"/>
    </row>
    <row r="135" spans="1:28" ht="66.75" customHeight="1">
      <c r="A135" s="147" t="s">
        <v>94</v>
      </c>
      <c r="B135" s="142" t="s">
        <v>223</v>
      </c>
      <c r="C135" s="142" t="s">
        <v>95</v>
      </c>
      <c r="D135" s="95">
        <v>127</v>
      </c>
      <c r="E135" s="112" t="s">
        <v>352</v>
      </c>
      <c r="F135" s="31"/>
      <c r="G135" s="31"/>
      <c r="H135" s="31">
        <v>5</v>
      </c>
      <c r="I135" s="31"/>
      <c r="J135" s="31"/>
      <c r="K135" s="31"/>
      <c r="L135" s="31">
        <f t="shared" ref="L135:L149" si="12">J135+K135</f>
        <v>0</v>
      </c>
      <c r="M135" s="31"/>
      <c r="N135" s="31"/>
      <c r="O135" s="31"/>
      <c r="P135" s="31"/>
      <c r="Q135" s="31"/>
      <c r="R135" s="31"/>
      <c r="S135" s="31"/>
      <c r="T135" s="32">
        <f t="shared" ref="T135:T156" si="13">F135+G135+H135+I135+L135+M135+N135+O135+P135+Q135+R135+S135</f>
        <v>5</v>
      </c>
      <c r="U135" s="32">
        <v>30</v>
      </c>
      <c r="V135" s="84" t="s">
        <v>419</v>
      </c>
      <c r="W135" s="71" t="s">
        <v>401</v>
      </c>
      <c r="X135" s="31"/>
      <c r="Y135" s="31"/>
      <c r="Z135" s="31"/>
      <c r="AA135" s="31"/>
      <c r="AB135" s="31"/>
    </row>
    <row r="136" spans="1:28" ht="290.25" customHeight="1">
      <c r="A136" s="148"/>
      <c r="B136" s="144"/>
      <c r="C136" s="144"/>
      <c r="D136" s="95">
        <v>128</v>
      </c>
      <c r="E136" s="112" t="s">
        <v>341</v>
      </c>
      <c r="F136" s="31"/>
      <c r="G136" s="31"/>
      <c r="H136" s="31"/>
      <c r="I136" s="31"/>
      <c r="J136" s="31"/>
      <c r="K136" s="31">
        <v>660</v>
      </c>
      <c r="L136" s="31">
        <f t="shared" si="12"/>
        <v>660</v>
      </c>
      <c r="M136" s="31">
        <v>55</v>
      </c>
      <c r="N136" s="31"/>
      <c r="O136" s="31"/>
      <c r="P136" s="31">
        <v>38.5</v>
      </c>
      <c r="Q136" s="31"/>
      <c r="R136" s="31">
        <v>10</v>
      </c>
      <c r="S136" s="31"/>
      <c r="T136" s="32">
        <f t="shared" si="13"/>
        <v>763.5</v>
      </c>
      <c r="U136" s="32">
        <v>801.67</v>
      </c>
      <c r="V136" s="84"/>
      <c r="W136" s="71" t="s">
        <v>402</v>
      </c>
      <c r="X136" s="31"/>
      <c r="Y136" s="31"/>
      <c r="Z136" s="31"/>
      <c r="AA136" s="31"/>
      <c r="AB136" s="31"/>
    </row>
    <row r="137" spans="1:28" ht="31.5">
      <c r="A137" s="148"/>
      <c r="B137" s="55"/>
      <c r="C137" s="55"/>
      <c r="D137" s="95">
        <v>129</v>
      </c>
      <c r="E137" s="30" t="s">
        <v>353</v>
      </c>
      <c r="F137" s="31"/>
      <c r="G137" s="31"/>
      <c r="H137" s="31"/>
      <c r="I137" s="31"/>
      <c r="J137" s="31"/>
      <c r="K137" s="31"/>
      <c r="L137" s="31">
        <f t="shared" si="12"/>
        <v>0</v>
      </c>
      <c r="M137" s="31"/>
      <c r="N137" s="31"/>
      <c r="O137" s="31"/>
      <c r="P137" s="31"/>
      <c r="Q137" s="31"/>
      <c r="R137" s="31"/>
      <c r="S137" s="31"/>
      <c r="T137" s="32">
        <f t="shared" si="13"/>
        <v>0</v>
      </c>
      <c r="U137" s="32"/>
      <c r="V137" s="84"/>
      <c r="W137" s="71"/>
      <c r="X137" s="31"/>
      <c r="Y137" s="31"/>
      <c r="Z137" s="31"/>
      <c r="AA137" s="31"/>
      <c r="AB137" s="31"/>
    </row>
    <row r="138" spans="1:28" ht="362.25">
      <c r="A138" s="148"/>
      <c r="B138" s="150" t="s">
        <v>224</v>
      </c>
      <c r="C138" s="150" t="s">
        <v>96</v>
      </c>
      <c r="D138" s="95">
        <v>130</v>
      </c>
      <c r="E138" s="112" t="s">
        <v>354</v>
      </c>
      <c r="F138" s="31"/>
      <c r="G138" s="31"/>
      <c r="H138" s="31"/>
      <c r="I138" s="31"/>
      <c r="J138" s="31"/>
      <c r="K138" s="31">
        <v>7</v>
      </c>
      <c r="L138" s="31">
        <f t="shared" si="12"/>
        <v>7</v>
      </c>
      <c r="M138" s="31"/>
      <c r="N138" s="31">
        <v>30.24</v>
      </c>
      <c r="O138" s="31">
        <v>168</v>
      </c>
      <c r="P138" s="31">
        <v>25.5</v>
      </c>
      <c r="Q138" s="31"/>
      <c r="R138" s="31"/>
      <c r="S138" s="31"/>
      <c r="T138" s="32">
        <f t="shared" si="13"/>
        <v>230.74</v>
      </c>
      <c r="U138" s="32">
        <v>232.65</v>
      </c>
      <c r="V138" s="84"/>
      <c r="W138" s="71" t="s">
        <v>461</v>
      </c>
      <c r="X138" s="31"/>
      <c r="Y138" s="31"/>
      <c r="Z138" s="31"/>
      <c r="AA138" s="31"/>
      <c r="AB138" s="31"/>
    </row>
    <row r="139" spans="1:28" ht="94.5">
      <c r="A139" s="148"/>
      <c r="B139" s="150"/>
      <c r="C139" s="151"/>
      <c r="D139" s="95">
        <v>131</v>
      </c>
      <c r="E139" s="39" t="s">
        <v>97</v>
      </c>
      <c r="F139" s="31"/>
      <c r="G139" s="31"/>
      <c r="H139" s="31"/>
      <c r="I139" s="31"/>
      <c r="J139" s="31"/>
      <c r="K139" s="31"/>
      <c r="L139" s="31">
        <f t="shared" si="12"/>
        <v>0</v>
      </c>
      <c r="M139" s="31"/>
      <c r="N139" s="31">
        <v>7.5</v>
      </c>
      <c r="O139" s="31"/>
      <c r="P139" s="31"/>
      <c r="Q139" s="31"/>
      <c r="R139" s="31"/>
      <c r="S139" s="31"/>
      <c r="T139" s="32">
        <f t="shared" si="13"/>
        <v>7.5</v>
      </c>
      <c r="U139" s="32">
        <v>10</v>
      </c>
      <c r="V139" s="84" t="s">
        <v>420</v>
      </c>
      <c r="W139" s="71" t="s">
        <v>403</v>
      </c>
      <c r="X139" s="31"/>
      <c r="Y139" s="31"/>
      <c r="Z139" s="31"/>
      <c r="AA139" s="31"/>
      <c r="AB139" s="31"/>
    </row>
    <row r="140" spans="1:28">
      <c r="A140" s="148"/>
      <c r="B140" s="150"/>
      <c r="C140" s="151"/>
      <c r="D140" s="95">
        <v>132</v>
      </c>
      <c r="E140" s="39" t="s">
        <v>98</v>
      </c>
      <c r="F140" s="31"/>
      <c r="G140" s="31"/>
      <c r="H140" s="31"/>
      <c r="I140" s="31"/>
      <c r="J140" s="31"/>
      <c r="K140" s="31"/>
      <c r="L140" s="31">
        <f t="shared" si="12"/>
        <v>0</v>
      </c>
      <c r="M140" s="31"/>
      <c r="N140" s="31"/>
      <c r="O140" s="31"/>
      <c r="P140" s="31"/>
      <c r="Q140" s="31"/>
      <c r="R140" s="31"/>
      <c r="S140" s="31"/>
      <c r="T140" s="32">
        <f t="shared" si="13"/>
        <v>0</v>
      </c>
      <c r="U140" s="32"/>
      <c r="V140" s="84"/>
      <c r="W140" s="71"/>
      <c r="X140" s="31"/>
      <c r="Y140" s="31"/>
      <c r="Z140" s="31"/>
      <c r="AA140" s="31"/>
      <c r="AB140" s="31"/>
    </row>
    <row r="141" spans="1:28" ht="47.25">
      <c r="A141" s="148"/>
      <c r="B141" s="150"/>
      <c r="C141" s="151"/>
      <c r="D141" s="95">
        <v>133</v>
      </c>
      <c r="E141" s="112" t="s">
        <v>99</v>
      </c>
      <c r="F141" s="31"/>
      <c r="G141" s="31"/>
      <c r="H141" s="31"/>
      <c r="I141" s="31"/>
      <c r="J141" s="31"/>
      <c r="K141" s="31"/>
      <c r="L141" s="31">
        <f t="shared" si="12"/>
        <v>0</v>
      </c>
      <c r="M141" s="31"/>
      <c r="N141" s="31">
        <v>5.5</v>
      </c>
      <c r="O141" s="31"/>
      <c r="P141" s="31"/>
      <c r="Q141" s="31"/>
      <c r="R141" s="31"/>
      <c r="S141" s="31"/>
      <c r="T141" s="32">
        <f t="shared" si="13"/>
        <v>5.5</v>
      </c>
      <c r="U141" s="32">
        <v>5.77</v>
      </c>
      <c r="V141" s="84"/>
      <c r="W141" s="71" t="s">
        <v>404</v>
      </c>
      <c r="X141" s="31"/>
      <c r="Y141" s="31"/>
      <c r="Z141" s="31"/>
      <c r="AA141" s="31"/>
      <c r="AB141" s="31"/>
    </row>
    <row r="142" spans="1:28" ht="189">
      <c r="A142" s="148"/>
      <c r="B142" s="150"/>
      <c r="C142" s="151"/>
      <c r="D142" s="95">
        <v>134</v>
      </c>
      <c r="E142" s="112" t="s">
        <v>165</v>
      </c>
      <c r="F142" s="31"/>
      <c r="G142" s="31"/>
      <c r="H142" s="31"/>
      <c r="I142" s="31"/>
      <c r="J142" s="31"/>
      <c r="K142" s="31"/>
      <c r="L142" s="31">
        <f t="shared" si="12"/>
        <v>0</v>
      </c>
      <c r="M142" s="31"/>
      <c r="N142" s="31"/>
      <c r="O142" s="31"/>
      <c r="P142" s="31">
        <v>72.900000000000006</v>
      </c>
      <c r="Q142" s="31"/>
      <c r="R142" s="31"/>
      <c r="S142" s="31"/>
      <c r="T142" s="32">
        <f t="shared" si="13"/>
        <v>72.900000000000006</v>
      </c>
      <c r="U142" s="32">
        <v>104.94</v>
      </c>
      <c r="V142" s="84" t="s">
        <v>419</v>
      </c>
      <c r="W142" s="71" t="s">
        <v>405</v>
      </c>
      <c r="X142" s="31"/>
      <c r="Y142" s="31"/>
      <c r="Z142" s="31"/>
      <c r="AA142" s="31"/>
      <c r="AB142" s="31"/>
    </row>
    <row r="143" spans="1:28" ht="31.5">
      <c r="A143" s="148"/>
      <c r="B143" s="150"/>
      <c r="C143" s="151"/>
      <c r="D143" s="95">
        <v>135</v>
      </c>
      <c r="E143" s="39" t="s">
        <v>166</v>
      </c>
      <c r="F143" s="31"/>
      <c r="G143" s="31"/>
      <c r="H143" s="31"/>
      <c r="I143" s="31"/>
      <c r="J143" s="31"/>
      <c r="K143" s="31"/>
      <c r="L143" s="31">
        <f t="shared" si="12"/>
        <v>0</v>
      </c>
      <c r="M143" s="31"/>
      <c r="N143" s="31"/>
      <c r="O143" s="31"/>
      <c r="P143" s="31">
        <v>5</v>
      </c>
      <c r="Q143" s="31"/>
      <c r="R143" s="31"/>
      <c r="S143" s="31"/>
      <c r="T143" s="32">
        <f t="shared" si="13"/>
        <v>5</v>
      </c>
      <c r="U143" s="32">
        <v>5</v>
      </c>
      <c r="V143" s="84"/>
      <c r="W143" s="71" t="s">
        <v>442</v>
      </c>
      <c r="X143" s="31"/>
      <c r="Y143" s="31"/>
      <c r="Z143" s="31"/>
      <c r="AA143" s="31"/>
      <c r="AB143" s="31"/>
    </row>
    <row r="144" spans="1:28" ht="63">
      <c r="A144" s="148"/>
      <c r="B144" s="150"/>
      <c r="C144" s="151"/>
      <c r="D144" s="95">
        <v>136</v>
      </c>
      <c r="E144" s="39" t="s">
        <v>100</v>
      </c>
      <c r="F144" s="31"/>
      <c r="G144" s="31"/>
      <c r="H144" s="31"/>
      <c r="I144" s="31"/>
      <c r="J144" s="31"/>
      <c r="K144" s="31"/>
      <c r="L144" s="31">
        <f t="shared" si="12"/>
        <v>0</v>
      </c>
      <c r="M144" s="31"/>
      <c r="N144" s="31"/>
      <c r="O144" s="31"/>
      <c r="P144" s="31">
        <v>20.5</v>
      </c>
      <c r="Q144" s="31"/>
      <c r="R144" s="31"/>
      <c r="S144" s="31"/>
      <c r="T144" s="32">
        <f t="shared" si="13"/>
        <v>20.5</v>
      </c>
      <c r="U144" s="32">
        <v>21.52</v>
      </c>
      <c r="V144" s="84"/>
      <c r="W144" s="71" t="s">
        <v>406</v>
      </c>
      <c r="X144" s="31"/>
      <c r="Y144" s="31"/>
      <c r="Z144" s="31"/>
      <c r="AA144" s="31"/>
      <c r="AB144" s="31"/>
    </row>
    <row r="145" spans="1:28" ht="409.5">
      <c r="A145" s="148"/>
      <c r="B145" s="150" t="s">
        <v>225</v>
      </c>
      <c r="C145" s="150" t="s">
        <v>101</v>
      </c>
      <c r="D145" s="95">
        <v>137</v>
      </c>
      <c r="E145" s="39" t="s">
        <v>196</v>
      </c>
      <c r="F145" s="31"/>
      <c r="G145" s="31"/>
      <c r="H145" s="31">
        <v>646.73</v>
      </c>
      <c r="I145" s="31"/>
      <c r="J145" s="31"/>
      <c r="K145" s="31"/>
      <c r="L145" s="31">
        <f t="shared" si="12"/>
        <v>0</v>
      </c>
      <c r="M145" s="31"/>
      <c r="N145" s="31">
        <v>22.18</v>
      </c>
      <c r="O145" s="31"/>
      <c r="P145" s="31">
        <v>459.6</v>
      </c>
      <c r="Q145" s="31">
        <v>92</v>
      </c>
      <c r="R145" s="31"/>
      <c r="S145" s="31"/>
      <c r="T145" s="32">
        <f t="shared" si="13"/>
        <v>1220.51</v>
      </c>
      <c r="U145" s="32">
        <v>1332</v>
      </c>
      <c r="V145" s="84"/>
      <c r="W145" s="102" t="s">
        <v>462</v>
      </c>
      <c r="X145" s="31"/>
      <c r="Y145" s="31"/>
      <c r="Z145" s="31"/>
      <c r="AA145" s="31"/>
      <c r="AB145" s="31"/>
    </row>
    <row r="146" spans="1:28" ht="31.5">
      <c r="A146" s="148"/>
      <c r="B146" s="150"/>
      <c r="C146" s="150"/>
      <c r="D146" s="95">
        <v>138</v>
      </c>
      <c r="E146" s="39" t="s">
        <v>195</v>
      </c>
      <c r="F146" s="31"/>
      <c r="G146" s="31"/>
      <c r="H146" s="31"/>
      <c r="I146" s="31"/>
      <c r="J146" s="31"/>
      <c r="K146" s="31"/>
      <c r="L146" s="31">
        <f t="shared" si="12"/>
        <v>0</v>
      </c>
      <c r="M146" s="31"/>
      <c r="N146" s="31"/>
      <c r="O146" s="31"/>
      <c r="P146" s="31"/>
      <c r="Q146" s="31"/>
      <c r="R146" s="31"/>
      <c r="S146" s="31"/>
      <c r="T146" s="32">
        <f t="shared" si="13"/>
        <v>0</v>
      </c>
      <c r="U146" s="32"/>
      <c r="V146" s="84"/>
      <c r="W146" s="71"/>
      <c r="X146" s="31"/>
      <c r="Y146" s="31"/>
      <c r="Z146" s="31"/>
      <c r="AA146" s="31"/>
      <c r="AB146" s="31"/>
    </row>
    <row r="147" spans="1:28" ht="270.75">
      <c r="A147" s="148"/>
      <c r="B147" s="150" t="s">
        <v>226</v>
      </c>
      <c r="C147" s="150" t="s">
        <v>102</v>
      </c>
      <c r="D147" s="95">
        <v>139</v>
      </c>
      <c r="E147" s="39" t="s">
        <v>230</v>
      </c>
      <c r="F147" s="31"/>
      <c r="G147" s="31"/>
      <c r="H147" s="31"/>
      <c r="I147" s="31"/>
      <c r="J147" s="31"/>
      <c r="K147" s="31"/>
      <c r="L147" s="31">
        <f t="shared" si="12"/>
        <v>0</v>
      </c>
      <c r="M147" s="31"/>
      <c r="N147" s="31">
        <v>3.35</v>
      </c>
      <c r="O147" s="31"/>
      <c r="P147" s="31">
        <v>8.129999999999999</v>
      </c>
      <c r="Q147" s="31"/>
      <c r="R147" s="31">
        <v>2.25</v>
      </c>
      <c r="S147" s="34"/>
      <c r="T147" s="32">
        <f t="shared" si="13"/>
        <v>13.729999999999999</v>
      </c>
      <c r="U147" s="32">
        <v>15.09</v>
      </c>
      <c r="V147" s="84"/>
      <c r="W147" s="71" t="s">
        <v>407</v>
      </c>
      <c r="X147" s="31"/>
      <c r="Y147" s="31"/>
      <c r="Z147" s="31"/>
      <c r="AA147" s="31"/>
      <c r="AB147" s="31"/>
    </row>
    <row r="148" spans="1:28" ht="296.25">
      <c r="A148" s="148"/>
      <c r="B148" s="150"/>
      <c r="C148" s="150"/>
      <c r="D148" s="95">
        <v>140</v>
      </c>
      <c r="E148" s="39" t="s">
        <v>103</v>
      </c>
      <c r="F148" s="31"/>
      <c r="G148" s="31"/>
      <c r="H148" s="31"/>
      <c r="I148" s="31"/>
      <c r="J148" s="31"/>
      <c r="K148" s="31"/>
      <c r="L148" s="31">
        <f t="shared" si="12"/>
        <v>0</v>
      </c>
      <c r="M148" s="31"/>
      <c r="N148" s="31">
        <v>4.16</v>
      </c>
      <c r="O148" s="31"/>
      <c r="P148" s="31">
        <v>40.450000000000003</v>
      </c>
      <c r="Q148" s="31"/>
      <c r="R148" s="31"/>
      <c r="S148" s="31"/>
      <c r="T148" s="32">
        <f t="shared" si="13"/>
        <v>44.61</v>
      </c>
      <c r="U148" s="32">
        <v>45.5</v>
      </c>
      <c r="V148" s="84"/>
      <c r="W148" s="39" t="s">
        <v>431</v>
      </c>
      <c r="X148" s="31"/>
      <c r="Y148" s="31"/>
      <c r="Z148" s="31"/>
      <c r="AA148" s="31"/>
      <c r="AB148" s="31"/>
    </row>
    <row r="149" spans="1:28">
      <c r="A149" s="148"/>
      <c r="B149" s="150"/>
      <c r="C149" s="150"/>
      <c r="D149" s="95">
        <v>141</v>
      </c>
      <c r="E149" s="39" t="s">
        <v>128</v>
      </c>
      <c r="F149" s="31"/>
      <c r="G149" s="31"/>
      <c r="H149" s="31"/>
      <c r="I149" s="31"/>
      <c r="J149" s="31"/>
      <c r="K149" s="31"/>
      <c r="L149" s="31">
        <f t="shared" si="12"/>
        <v>0</v>
      </c>
      <c r="M149" s="31"/>
      <c r="N149" s="31"/>
      <c r="O149" s="31"/>
      <c r="P149" s="31"/>
      <c r="Q149" s="31"/>
      <c r="R149" s="31"/>
      <c r="S149" s="31"/>
      <c r="T149" s="32">
        <f t="shared" si="13"/>
        <v>0</v>
      </c>
      <c r="U149" s="32"/>
      <c r="V149" s="84"/>
      <c r="W149" s="71"/>
      <c r="X149" s="31"/>
      <c r="Y149" s="31"/>
      <c r="Z149" s="31"/>
      <c r="AA149" s="31"/>
      <c r="AB149" s="31"/>
    </row>
    <row r="150" spans="1:28" ht="42.75" customHeight="1">
      <c r="A150" s="148"/>
      <c r="B150" s="142" t="s">
        <v>227</v>
      </c>
      <c r="C150" s="142" t="s">
        <v>134</v>
      </c>
      <c r="D150" s="95">
        <v>142</v>
      </c>
      <c r="E150" s="30" t="s">
        <v>203</v>
      </c>
      <c r="F150" s="40"/>
      <c r="G150" s="40"/>
      <c r="H150" s="40"/>
      <c r="I150" s="40"/>
      <c r="J150" s="40"/>
      <c r="K150" s="40"/>
      <c r="L150" s="40"/>
      <c r="M150" s="40"/>
      <c r="N150" s="31"/>
      <c r="O150" s="40"/>
      <c r="P150" s="40"/>
      <c r="Q150" s="40"/>
      <c r="R150" s="40"/>
      <c r="S150" s="40"/>
      <c r="T150" s="98">
        <v>3336.3</v>
      </c>
      <c r="U150" s="98">
        <v>3974.74</v>
      </c>
      <c r="V150" s="84" t="s">
        <v>422</v>
      </c>
      <c r="W150" s="71" t="s">
        <v>418</v>
      </c>
      <c r="X150" s="31"/>
      <c r="Y150" s="31"/>
      <c r="Z150" s="31"/>
      <c r="AA150" s="31"/>
      <c r="AB150" s="31"/>
    </row>
    <row r="151" spans="1:28" ht="94.5">
      <c r="A151" s="148"/>
      <c r="B151" s="143"/>
      <c r="C151" s="143"/>
      <c r="D151" s="95">
        <v>143</v>
      </c>
      <c r="E151" s="30" t="s">
        <v>204</v>
      </c>
      <c r="F151" s="40"/>
      <c r="G151" s="40"/>
      <c r="H151" s="40"/>
      <c r="I151" s="40"/>
      <c r="J151" s="40"/>
      <c r="K151" s="40"/>
      <c r="L151" s="40"/>
      <c r="M151" s="40"/>
      <c r="N151" s="31"/>
      <c r="O151" s="40"/>
      <c r="P151" s="42">
        <v>3.87</v>
      </c>
      <c r="Q151" s="31"/>
      <c r="R151" s="31"/>
      <c r="S151" s="31"/>
      <c r="T151" s="32">
        <f t="shared" si="13"/>
        <v>3.87</v>
      </c>
      <c r="U151" s="24">
        <v>4.7</v>
      </c>
      <c r="V151" s="84" t="s">
        <v>421</v>
      </c>
      <c r="W151" s="71" t="s">
        <v>425</v>
      </c>
      <c r="X151" s="31"/>
      <c r="Y151" s="31"/>
      <c r="Z151" s="31"/>
      <c r="AA151" s="31"/>
      <c r="AB151" s="31"/>
    </row>
    <row r="152" spans="1:28" ht="94.5">
      <c r="A152" s="148"/>
      <c r="B152" s="143"/>
      <c r="C152" s="143"/>
      <c r="D152" s="95">
        <v>144</v>
      </c>
      <c r="E152" s="30" t="s">
        <v>135</v>
      </c>
      <c r="F152" s="40"/>
      <c r="G152" s="40"/>
      <c r="H152" s="40"/>
      <c r="I152" s="40"/>
      <c r="J152" s="40"/>
      <c r="K152" s="40"/>
      <c r="L152" s="40"/>
      <c r="M152" s="40"/>
      <c r="N152" s="31"/>
      <c r="O152" s="40"/>
      <c r="P152" s="31">
        <v>174</v>
      </c>
      <c r="Q152" s="31"/>
      <c r="R152" s="31"/>
      <c r="S152" s="31"/>
      <c r="T152" s="32">
        <f t="shared" si="13"/>
        <v>174</v>
      </c>
      <c r="U152" s="32">
        <v>207.24</v>
      </c>
      <c r="V152" s="84" t="s">
        <v>439</v>
      </c>
      <c r="W152" s="71" t="s">
        <v>440</v>
      </c>
      <c r="X152" s="31"/>
      <c r="Y152" s="31"/>
      <c r="Z152" s="31"/>
      <c r="AA152" s="31"/>
      <c r="AB152" s="31"/>
    </row>
    <row r="153" spans="1:28" ht="31.5">
      <c r="A153" s="148"/>
      <c r="B153" s="144"/>
      <c r="C153" s="144"/>
      <c r="D153" s="95">
        <v>145</v>
      </c>
      <c r="E153" s="30" t="s">
        <v>202</v>
      </c>
      <c r="F153" s="40"/>
      <c r="G153" s="40"/>
      <c r="H153" s="40"/>
      <c r="I153" s="40"/>
      <c r="J153" s="40"/>
      <c r="K153" s="40"/>
      <c r="L153" s="40"/>
      <c r="M153" s="40"/>
      <c r="N153" s="31"/>
      <c r="O153" s="40"/>
      <c r="P153" s="31"/>
      <c r="Q153" s="31"/>
      <c r="R153" s="31"/>
      <c r="S153" s="31"/>
      <c r="T153" s="32"/>
      <c r="U153" s="32"/>
      <c r="V153" s="84"/>
      <c r="W153" s="10"/>
      <c r="X153" s="31"/>
      <c r="Y153" s="31"/>
      <c r="Z153" s="31"/>
      <c r="AA153" s="31"/>
      <c r="AB153" s="31"/>
    </row>
    <row r="154" spans="1:28" ht="376.5">
      <c r="A154" s="148"/>
      <c r="B154" s="43" t="s">
        <v>228</v>
      </c>
      <c r="C154" s="43" t="s">
        <v>139</v>
      </c>
      <c r="D154" s="95">
        <v>146</v>
      </c>
      <c r="E154" s="56" t="s">
        <v>151</v>
      </c>
      <c r="F154" s="31"/>
      <c r="G154" s="31"/>
      <c r="H154" s="31"/>
      <c r="I154" s="31"/>
      <c r="J154" s="31"/>
      <c r="K154" s="31"/>
      <c r="L154" s="31">
        <f t="shared" ref="L154:L156" si="14">J154+K154</f>
        <v>0</v>
      </c>
      <c r="M154" s="31"/>
      <c r="N154" s="31">
        <v>3.8</v>
      </c>
      <c r="O154" s="31"/>
      <c r="P154" s="31"/>
      <c r="Q154" s="31"/>
      <c r="R154" s="31">
        <v>140.38000000000002</v>
      </c>
      <c r="S154" s="31"/>
      <c r="T154" s="32">
        <f t="shared" si="13"/>
        <v>144.18000000000004</v>
      </c>
      <c r="U154" s="32">
        <v>144.72999999999999</v>
      </c>
      <c r="V154" s="84"/>
      <c r="W154" s="71" t="s">
        <v>408</v>
      </c>
      <c r="X154" s="31"/>
      <c r="Y154" s="31"/>
      <c r="Z154" s="31"/>
      <c r="AA154" s="31"/>
      <c r="AB154" s="31"/>
    </row>
    <row r="155" spans="1:28">
      <c r="A155" s="148"/>
      <c r="B155" s="43" t="s">
        <v>229</v>
      </c>
      <c r="C155" s="43" t="s">
        <v>104</v>
      </c>
      <c r="D155" s="95">
        <v>147</v>
      </c>
      <c r="E155" s="39" t="s">
        <v>81</v>
      </c>
      <c r="F155" s="31"/>
      <c r="G155" s="31"/>
      <c r="H155" s="31"/>
      <c r="I155" s="31"/>
      <c r="J155" s="31"/>
      <c r="K155" s="31"/>
      <c r="L155" s="31">
        <f t="shared" si="14"/>
        <v>0</v>
      </c>
      <c r="M155" s="31"/>
      <c r="N155" s="31"/>
      <c r="O155" s="31"/>
      <c r="P155" s="31"/>
      <c r="Q155" s="31"/>
      <c r="R155" s="31"/>
      <c r="S155" s="31"/>
      <c r="T155" s="32">
        <f t="shared" si="13"/>
        <v>0</v>
      </c>
      <c r="U155" s="32"/>
      <c r="V155" s="84"/>
      <c r="W155" s="71"/>
      <c r="X155" s="31"/>
      <c r="Y155" s="31"/>
      <c r="Z155" s="31"/>
      <c r="AA155" s="31"/>
      <c r="AB155" s="31"/>
    </row>
    <row r="156" spans="1:28" ht="47.25">
      <c r="A156" s="148"/>
      <c r="B156" s="43" t="s">
        <v>241</v>
      </c>
      <c r="C156" s="43" t="s">
        <v>106</v>
      </c>
      <c r="D156" s="95">
        <v>148</v>
      </c>
      <c r="E156" s="39" t="s">
        <v>107</v>
      </c>
      <c r="F156" s="31"/>
      <c r="G156" s="31"/>
      <c r="H156" s="31"/>
      <c r="I156" s="31"/>
      <c r="J156" s="31"/>
      <c r="K156" s="31"/>
      <c r="L156" s="31">
        <f t="shared" si="14"/>
        <v>0</v>
      </c>
      <c r="M156" s="31"/>
      <c r="N156" s="31"/>
      <c r="O156" s="31"/>
      <c r="P156" s="31"/>
      <c r="Q156" s="31"/>
      <c r="R156" s="31"/>
      <c r="S156" s="31"/>
      <c r="T156" s="32">
        <f t="shared" si="13"/>
        <v>0</v>
      </c>
      <c r="U156" s="32"/>
      <c r="V156" s="84"/>
      <c r="W156" s="71"/>
      <c r="X156" s="31"/>
      <c r="Y156" s="31"/>
      <c r="Z156" s="31"/>
      <c r="AA156" s="31"/>
      <c r="AB156" s="31"/>
    </row>
    <row r="157" spans="1:28" ht="150.75">
      <c r="A157" s="148"/>
      <c r="B157" s="43" t="s">
        <v>242</v>
      </c>
      <c r="C157" s="49" t="s">
        <v>152</v>
      </c>
      <c r="D157" s="95">
        <v>149</v>
      </c>
      <c r="E157" s="39" t="s">
        <v>240</v>
      </c>
      <c r="F157" s="57"/>
      <c r="G157" s="57"/>
      <c r="H157" s="57"/>
      <c r="I157" s="57"/>
      <c r="J157" s="57"/>
      <c r="K157" s="57"/>
      <c r="L157" s="57"/>
      <c r="M157" s="57"/>
      <c r="N157" s="57"/>
      <c r="O157" s="57"/>
      <c r="P157" s="57"/>
      <c r="Q157" s="57"/>
      <c r="R157" s="57"/>
      <c r="S157" s="57"/>
      <c r="T157" s="32">
        <v>162.15</v>
      </c>
      <c r="U157" s="32">
        <v>192.15</v>
      </c>
      <c r="V157" s="84" t="s">
        <v>423</v>
      </c>
      <c r="W157" s="71" t="s">
        <v>409</v>
      </c>
      <c r="X157" s="31"/>
      <c r="Y157" s="31"/>
      <c r="Z157" s="31"/>
      <c r="AA157" s="31"/>
      <c r="AB157" s="31"/>
    </row>
    <row r="158" spans="1:28" s="59" customFormat="1">
      <c r="A158" s="149"/>
      <c r="B158" s="166" t="s">
        <v>280</v>
      </c>
      <c r="C158" s="166"/>
      <c r="D158" s="166"/>
      <c r="E158" s="45"/>
      <c r="F158" s="58">
        <f t="shared" ref="F158:K158" si="15">SUM(F135:F157)</f>
        <v>0</v>
      </c>
      <c r="G158" s="58">
        <f t="shared" si="15"/>
        <v>0</v>
      </c>
      <c r="H158" s="58">
        <f t="shared" si="15"/>
        <v>651.73</v>
      </c>
      <c r="I158" s="58">
        <f t="shared" si="15"/>
        <v>0</v>
      </c>
      <c r="J158" s="58">
        <f t="shared" si="15"/>
        <v>0</v>
      </c>
      <c r="K158" s="58">
        <f t="shared" si="15"/>
        <v>667</v>
      </c>
      <c r="L158" s="58">
        <f>SUM(L135:L157)</f>
        <v>667</v>
      </c>
      <c r="M158" s="58">
        <f t="shared" ref="M158:AA158" si="16">SUM(M135:M157)</f>
        <v>55</v>
      </c>
      <c r="N158" s="58">
        <f t="shared" si="16"/>
        <v>76.729999999999976</v>
      </c>
      <c r="O158" s="58">
        <f t="shared" si="16"/>
        <v>168</v>
      </c>
      <c r="P158" s="58">
        <f t="shared" si="16"/>
        <v>848.45</v>
      </c>
      <c r="Q158" s="58">
        <f t="shared" si="16"/>
        <v>92</v>
      </c>
      <c r="R158" s="58">
        <f t="shared" si="16"/>
        <v>152.63000000000002</v>
      </c>
      <c r="S158" s="58">
        <f t="shared" si="16"/>
        <v>0</v>
      </c>
      <c r="T158" s="90">
        <f t="shared" si="16"/>
        <v>6209.9900000000007</v>
      </c>
      <c r="U158" s="90">
        <f t="shared" si="16"/>
        <v>7127.6999999999989</v>
      </c>
      <c r="V158" s="84"/>
      <c r="W158" s="78"/>
      <c r="X158" s="58">
        <f t="shared" si="16"/>
        <v>0</v>
      </c>
      <c r="Y158" s="58">
        <f t="shared" si="16"/>
        <v>0</v>
      </c>
      <c r="Z158" s="58">
        <f t="shared" si="16"/>
        <v>0</v>
      </c>
      <c r="AA158" s="58">
        <f t="shared" si="16"/>
        <v>0</v>
      </c>
      <c r="AB158" s="58"/>
    </row>
    <row r="159" spans="1:28" s="37" customFormat="1" ht="409.5">
      <c r="A159" s="167" t="s">
        <v>108</v>
      </c>
      <c r="B159" s="142" t="s">
        <v>109</v>
      </c>
      <c r="C159" s="142" t="s">
        <v>95</v>
      </c>
      <c r="D159" s="103">
        <v>150</v>
      </c>
      <c r="E159" s="36" t="s">
        <v>355</v>
      </c>
      <c r="F159" s="34"/>
      <c r="G159" s="97">
        <v>26100</v>
      </c>
      <c r="H159" s="34">
        <f>13967.5</f>
        <v>13967.5</v>
      </c>
      <c r="I159" s="34"/>
      <c r="J159" s="34"/>
      <c r="K159" s="34"/>
      <c r="L159" s="34">
        <f t="shared" ref="L159:L161" si="17">J159+K159</f>
        <v>0</v>
      </c>
      <c r="M159" s="34"/>
      <c r="N159" s="34">
        <f>1367.94+3148.53</f>
        <v>4516.47</v>
      </c>
      <c r="O159" s="34"/>
      <c r="P159" s="34">
        <v>1585.5</v>
      </c>
      <c r="Q159" s="34">
        <v>1705.25</v>
      </c>
      <c r="R159" s="34">
        <v>333.97</v>
      </c>
      <c r="S159" s="34"/>
      <c r="T159" s="42">
        <f t="shared" ref="T159:T208" si="18">F159+G159+H159+I159+L159+M159+N159+O159+P159+Q159+R159+S159</f>
        <v>48208.69</v>
      </c>
      <c r="U159" s="106">
        <f>3535.6+26100</f>
        <v>29635.599999999999</v>
      </c>
      <c r="V159" s="104"/>
      <c r="W159" s="128" t="s">
        <v>488</v>
      </c>
      <c r="X159" s="34"/>
      <c r="Y159" s="34"/>
      <c r="Z159" s="34"/>
      <c r="AA159" s="34"/>
      <c r="AB159" s="34"/>
    </row>
    <row r="160" spans="1:28" ht="78.75">
      <c r="A160" s="167"/>
      <c r="B160" s="143"/>
      <c r="C160" s="143"/>
      <c r="D160" s="95">
        <v>151</v>
      </c>
      <c r="E160" s="30" t="s">
        <v>342</v>
      </c>
      <c r="F160" s="31"/>
      <c r="G160" s="31">
        <v>31915</v>
      </c>
      <c r="H160" s="31"/>
      <c r="I160" s="31"/>
      <c r="J160" s="31"/>
      <c r="K160" s="31"/>
      <c r="L160" s="31">
        <f t="shared" si="17"/>
        <v>0</v>
      </c>
      <c r="M160" s="31"/>
      <c r="N160" s="31"/>
      <c r="O160" s="31"/>
      <c r="P160" s="31"/>
      <c r="Q160" s="31"/>
      <c r="R160" s="31"/>
      <c r="S160" s="31"/>
      <c r="T160" s="32">
        <f t="shared" si="18"/>
        <v>31915</v>
      </c>
      <c r="U160" s="32"/>
      <c r="V160" s="84"/>
      <c r="W160" s="71" t="s">
        <v>398</v>
      </c>
      <c r="X160" s="31"/>
      <c r="Y160" s="31"/>
      <c r="Z160" s="31"/>
      <c r="AA160" s="31"/>
      <c r="AB160" s="31"/>
    </row>
    <row r="161" spans="1:28" ht="31.5">
      <c r="A161" s="167"/>
      <c r="B161" s="143"/>
      <c r="C161" s="143"/>
      <c r="D161" s="95">
        <v>152</v>
      </c>
      <c r="E161" s="30" t="s">
        <v>356</v>
      </c>
      <c r="F161" s="31"/>
      <c r="G161" s="31"/>
      <c r="H161" s="31"/>
      <c r="I161" s="31"/>
      <c r="J161" s="31"/>
      <c r="K161" s="31"/>
      <c r="L161" s="31">
        <f t="shared" si="17"/>
        <v>0</v>
      </c>
      <c r="M161" s="31"/>
      <c r="N161" s="31"/>
      <c r="O161" s="31"/>
      <c r="P161" s="31"/>
      <c r="Q161" s="31"/>
      <c r="R161" s="31"/>
      <c r="S161" s="31"/>
      <c r="T161" s="32">
        <f t="shared" si="18"/>
        <v>0</v>
      </c>
      <c r="U161" s="32"/>
      <c r="V161" s="84"/>
      <c r="W161" s="71"/>
      <c r="X161" s="31"/>
      <c r="Y161" s="31"/>
      <c r="Z161" s="31"/>
      <c r="AA161" s="31"/>
      <c r="AB161" s="31"/>
    </row>
    <row r="162" spans="1:28" ht="220.5">
      <c r="A162" s="167"/>
      <c r="B162" s="143"/>
      <c r="C162" s="143"/>
      <c r="D162" s="95">
        <v>153</v>
      </c>
      <c r="E162" s="30" t="s">
        <v>357</v>
      </c>
      <c r="F162" s="57"/>
      <c r="G162" s="57"/>
      <c r="H162" s="57"/>
      <c r="I162" s="57"/>
      <c r="J162" s="57"/>
      <c r="K162" s="57"/>
      <c r="L162" s="57"/>
      <c r="M162" s="57"/>
      <c r="N162" s="31">
        <v>64.8</v>
      </c>
      <c r="O162" s="57"/>
      <c r="P162" s="57"/>
      <c r="Q162" s="57"/>
      <c r="R162" s="57"/>
      <c r="S162" s="57"/>
      <c r="T162" s="32">
        <f t="shared" si="18"/>
        <v>64.8</v>
      </c>
      <c r="U162" s="31">
        <v>129.6</v>
      </c>
      <c r="V162" s="31" t="s">
        <v>435</v>
      </c>
      <c r="W162" s="71" t="s">
        <v>465</v>
      </c>
      <c r="X162" s="31"/>
      <c r="Y162" s="31"/>
      <c r="Z162" s="31"/>
      <c r="AA162" s="31"/>
      <c r="AB162" s="31"/>
    </row>
    <row r="163" spans="1:28" ht="78.75">
      <c r="A163" s="167"/>
      <c r="B163" s="150" t="s">
        <v>110</v>
      </c>
      <c r="C163" s="150" t="s">
        <v>111</v>
      </c>
      <c r="D163" s="95">
        <v>154</v>
      </c>
      <c r="E163" s="30" t="s">
        <v>198</v>
      </c>
      <c r="F163" s="31"/>
      <c r="G163" s="31"/>
      <c r="H163" s="31"/>
      <c r="I163" s="31"/>
      <c r="J163" s="31"/>
      <c r="K163" s="31"/>
      <c r="L163" s="31">
        <f t="shared" ref="L163:L193" si="19">J163+K163</f>
        <v>0</v>
      </c>
      <c r="M163" s="31"/>
      <c r="N163" s="31"/>
      <c r="O163" s="31"/>
      <c r="P163" s="31"/>
      <c r="Q163" s="31">
        <v>65</v>
      </c>
      <c r="R163" s="31"/>
      <c r="S163" s="31"/>
      <c r="T163" s="32">
        <f t="shared" si="18"/>
        <v>65</v>
      </c>
      <c r="U163" s="32">
        <v>68.25</v>
      </c>
      <c r="V163" s="84"/>
      <c r="W163" s="71" t="s">
        <v>447</v>
      </c>
      <c r="X163" s="31"/>
      <c r="Y163" s="31"/>
      <c r="Z163" s="31"/>
      <c r="AA163" s="31"/>
      <c r="AB163" s="31"/>
    </row>
    <row r="164" spans="1:28" ht="94.5">
      <c r="A164" s="167"/>
      <c r="B164" s="150"/>
      <c r="C164" s="150"/>
      <c r="D164" s="95">
        <v>155</v>
      </c>
      <c r="E164" s="30" t="s">
        <v>197</v>
      </c>
      <c r="F164" s="31"/>
      <c r="G164" s="31"/>
      <c r="H164" s="31"/>
      <c r="I164" s="31"/>
      <c r="J164" s="31"/>
      <c r="K164" s="31"/>
      <c r="L164" s="31">
        <f t="shared" si="19"/>
        <v>0</v>
      </c>
      <c r="M164" s="31"/>
      <c r="N164" s="31"/>
      <c r="O164" s="31"/>
      <c r="P164" s="31">
        <v>150</v>
      </c>
      <c r="Q164" s="31"/>
      <c r="R164" s="31"/>
      <c r="S164" s="31"/>
      <c r="T164" s="32">
        <f t="shared" si="18"/>
        <v>150</v>
      </c>
      <c r="U164" s="32">
        <v>165</v>
      </c>
      <c r="V164" s="84"/>
      <c r="W164" s="71" t="s">
        <v>437</v>
      </c>
      <c r="X164" s="31"/>
      <c r="Y164" s="31"/>
      <c r="Z164" s="31"/>
      <c r="AA164" s="31"/>
      <c r="AB164" s="31"/>
    </row>
    <row r="165" spans="1:28" ht="362.25">
      <c r="A165" s="167"/>
      <c r="B165" s="150"/>
      <c r="C165" s="150"/>
      <c r="D165" s="95">
        <v>156</v>
      </c>
      <c r="E165" s="30" t="s">
        <v>345</v>
      </c>
      <c r="F165" s="31"/>
      <c r="G165" s="31">
        <v>50</v>
      </c>
      <c r="H165" s="31"/>
      <c r="I165" s="31">
        <v>973.6</v>
      </c>
      <c r="J165" s="31"/>
      <c r="K165" s="31">
        <v>225</v>
      </c>
      <c r="L165" s="31">
        <f t="shared" si="19"/>
        <v>225</v>
      </c>
      <c r="M165" s="31"/>
      <c r="N165" s="31">
        <v>20</v>
      </c>
      <c r="O165" s="31"/>
      <c r="P165" s="31"/>
      <c r="Q165" s="31"/>
      <c r="R165" s="31"/>
      <c r="S165" s="31"/>
      <c r="T165" s="32">
        <f t="shared" si="18"/>
        <v>1268.5999999999999</v>
      </c>
      <c r="U165" s="32">
        <v>250</v>
      </c>
      <c r="V165" s="84"/>
      <c r="W165" s="71" t="s">
        <v>448</v>
      </c>
      <c r="X165" s="31"/>
      <c r="Y165" s="31"/>
      <c r="Z165" s="31"/>
      <c r="AA165" s="31"/>
      <c r="AB165" s="31"/>
    </row>
    <row r="166" spans="1:28" ht="31.5">
      <c r="A166" s="167"/>
      <c r="B166" s="150"/>
      <c r="C166" s="150"/>
      <c r="D166" s="95">
        <v>157</v>
      </c>
      <c r="E166" s="30" t="s">
        <v>155</v>
      </c>
      <c r="F166" s="31"/>
      <c r="G166" s="31"/>
      <c r="H166" s="31"/>
      <c r="I166" s="31"/>
      <c r="J166" s="31"/>
      <c r="K166" s="31"/>
      <c r="L166" s="31">
        <f t="shared" si="19"/>
        <v>0</v>
      </c>
      <c r="M166" s="31"/>
      <c r="N166" s="31"/>
      <c r="O166" s="31"/>
      <c r="P166" s="97"/>
      <c r="Q166" s="31"/>
      <c r="R166" s="31"/>
      <c r="S166" s="31"/>
      <c r="T166" s="32">
        <f t="shared" si="18"/>
        <v>0</v>
      </c>
      <c r="U166" s="98"/>
      <c r="V166" s="84"/>
      <c r="W166" s="71"/>
      <c r="X166" s="31"/>
      <c r="Y166" s="31"/>
      <c r="Z166" s="31"/>
      <c r="AA166" s="31"/>
      <c r="AB166" s="31"/>
    </row>
    <row r="167" spans="1:28" ht="283.5">
      <c r="A167" s="167"/>
      <c r="B167" s="150"/>
      <c r="C167" s="150"/>
      <c r="D167" s="95">
        <v>158</v>
      </c>
      <c r="E167" s="30" t="s">
        <v>156</v>
      </c>
      <c r="F167" s="31"/>
      <c r="G167" s="31"/>
      <c r="H167" s="31"/>
      <c r="I167" s="31"/>
      <c r="J167" s="31"/>
      <c r="K167" s="31"/>
      <c r="L167" s="31">
        <f t="shared" si="19"/>
        <v>0</v>
      </c>
      <c r="M167" s="31"/>
      <c r="N167" s="31"/>
      <c r="O167" s="31"/>
      <c r="P167" s="31">
        <v>26.5</v>
      </c>
      <c r="Q167" s="31">
        <v>50</v>
      </c>
      <c r="R167" s="31"/>
      <c r="S167" s="31"/>
      <c r="T167" s="32">
        <f t="shared" si="18"/>
        <v>76.5</v>
      </c>
      <c r="U167" s="32">
        <v>80</v>
      </c>
      <c r="V167" s="84"/>
      <c r="W167" s="71" t="s">
        <v>375</v>
      </c>
      <c r="X167" s="31"/>
      <c r="Y167" s="31"/>
      <c r="Z167" s="31"/>
      <c r="AA167" s="31"/>
      <c r="AB167" s="31"/>
    </row>
    <row r="168" spans="1:28" ht="409.5">
      <c r="A168" s="167"/>
      <c r="B168" s="150" t="s">
        <v>112</v>
      </c>
      <c r="C168" s="150" t="s">
        <v>96</v>
      </c>
      <c r="D168" s="95">
        <v>159</v>
      </c>
      <c r="E168" s="112" t="s">
        <v>354</v>
      </c>
      <c r="F168" s="31"/>
      <c r="G168" s="31"/>
      <c r="H168" s="31"/>
      <c r="I168" s="31"/>
      <c r="J168" s="31"/>
      <c r="K168" s="31"/>
      <c r="L168" s="31">
        <f t="shared" si="19"/>
        <v>0</v>
      </c>
      <c r="M168" s="31"/>
      <c r="N168" s="31">
        <v>1881.88</v>
      </c>
      <c r="O168" s="31">
        <v>21600</v>
      </c>
      <c r="P168" s="31">
        <v>14821.689999999999</v>
      </c>
      <c r="Q168" s="97">
        <v>36.18</v>
      </c>
      <c r="R168" s="31">
        <v>212.12</v>
      </c>
      <c r="S168" s="31"/>
      <c r="T168" s="32">
        <f t="shared" si="18"/>
        <v>38551.870000000003</v>
      </c>
      <c r="U168" s="32">
        <v>30450.38</v>
      </c>
      <c r="V168" s="84"/>
      <c r="W168" s="71" t="s">
        <v>532</v>
      </c>
      <c r="X168" s="31"/>
      <c r="Y168" s="31"/>
      <c r="Z168" s="31"/>
      <c r="AA168" s="31"/>
      <c r="AB168" s="31"/>
    </row>
    <row r="169" spans="1:28" ht="63">
      <c r="A169" s="167"/>
      <c r="B169" s="150"/>
      <c r="C169" s="150"/>
      <c r="D169" s="95">
        <v>160</v>
      </c>
      <c r="E169" s="30" t="s">
        <v>114</v>
      </c>
      <c r="F169" s="31"/>
      <c r="G169" s="31"/>
      <c r="H169" s="31"/>
      <c r="I169" s="31"/>
      <c r="J169" s="31"/>
      <c r="K169" s="31"/>
      <c r="L169" s="31">
        <f t="shared" si="19"/>
        <v>0</v>
      </c>
      <c r="M169" s="31"/>
      <c r="N169" s="31"/>
      <c r="O169" s="31"/>
      <c r="P169" s="31">
        <v>84.72</v>
      </c>
      <c r="Q169" s="97">
        <v>200</v>
      </c>
      <c r="R169" s="31"/>
      <c r="S169" s="31"/>
      <c r="T169" s="32">
        <f t="shared" si="18"/>
        <v>284.72000000000003</v>
      </c>
      <c r="U169" s="32">
        <f>T169+(T169*10%)</f>
        <v>313.19200000000001</v>
      </c>
      <c r="V169" s="84"/>
      <c r="W169" s="71" t="s">
        <v>533</v>
      </c>
      <c r="X169" s="31"/>
      <c r="Y169" s="31"/>
      <c r="Z169" s="31"/>
      <c r="AA169" s="31"/>
      <c r="AB169" s="31"/>
    </row>
    <row r="170" spans="1:28" ht="110.25">
      <c r="A170" s="167"/>
      <c r="B170" s="150"/>
      <c r="C170" s="150"/>
      <c r="D170" s="95">
        <v>161</v>
      </c>
      <c r="E170" s="30" t="s">
        <v>98</v>
      </c>
      <c r="F170" s="31"/>
      <c r="G170" s="31"/>
      <c r="H170" s="31"/>
      <c r="I170" s="31"/>
      <c r="J170" s="31"/>
      <c r="K170" s="31"/>
      <c r="L170" s="31">
        <f t="shared" si="19"/>
        <v>0</v>
      </c>
      <c r="M170" s="31"/>
      <c r="N170" s="31">
        <v>20.05</v>
      </c>
      <c r="O170" s="31"/>
      <c r="P170" s="31"/>
      <c r="Q170" s="31"/>
      <c r="R170" s="31"/>
      <c r="S170" s="31"/>
      <c r="T170" s="32">
        <f t="shared" si="18"/>
        <v>20.05</v>
      </c>
      <c r="U170" s="32"/>
      <c r="V170" s="84"/>
      <c r="W170" s="102" t="s">
        <v>466</v>
      </c>
      <c r="X170" s="31"/>
      <c r="Y170" s="31"/>
      <c r="Z170" s="31"/>
      <c r="AA170" s="31"/>
      <c r="AB170" s="31"/>
    </row>
    <row r="171" spans="1:28" ht="58.5" customHeight="1">
      <c r="A171" s="167"/>
      <c r="B171" s="150"/>
      <c r="C171" s="150"/>
      <c r="D171" s="95">
        <v>162</v>
      </c>
      <c r="E171" s="30" t="s">
        <v>99</v>
      </c>
      <c r="F171" s="31"/>
      <c r="G171" s="31"/>
      <c r="H171" s="31"/>
      <c r="I171" s="31"/>
      <c r="J171" s="31"/>
      <c r="K171" s="31"/>
      <c r="L171" s="31">
        <f t="shared" si="19"/>
        <v>0</v>
      </c>
      <c r="M171" s="31"/>
      <c r="N171" s="31"/>
      <c r="O171" s="31"/>
      <c r="P171" s="31"/>
      <c r="Q171" s="31"/>
      <c r="R171" s="31"/>
      <c r="S171" s="31"/>
      <c r="T171" s="32">
        <f t="shared" si="18"/>
        <v>0</v>
      </c>
      <c r="U171" s="32"/>
      <c r="V171" s="84"/>
      <c r="W171" s="71"/>
      <c r="X171" s="31"/>
      <c r="Y171" s="31"/>
      <c r="Z171" s="31"/>
      <c r="AA171" s="31"/>
      <c r="AB171" s="31"/>
    </row>
    <row r="172" spans="1:28" ht="94.5" customHeight="1">
      <c r="A172" s="167"/>
      <c r="B172" s="150"/>
      <c r="C172" s="150"/>
      <c r="D172" s="95">
        <v>163</v>
      </c>
      <c r="E172" s="30" t="s">
        <v>149</v>
      </c>
      <c r="F172" s="31"/>
      <c r="G172" s="31"/>
      <c r="H172" s="31"/>
      <c r="I172" s="31"/>
      <c r="J172" s="31"/>
      <c r="K172" s="31"/>
      <c r="L172" s="31">
        <f t="shared" si="19"/>
        <v>0</v>
      </c>
      <c r="M172" s="31"/>
      <c r="N172" s="31"/>
      <c r="O172" s="31"/>
      <c r="P172" s="31"/>
      <c r="Q172" s="129">
        <f>241.21+78+1068</f>
        <v>1387.21</v>
      </c>
      <c r="R172" s="31"/>
      <c r="S172" s="31"/>
      <c r="T172" s="32">
        <f t="shared" si="18"/>
        <v>1387.21</v>
      </c>
      <c r="U172" s="32">
        <f>253.27+81.96+1068</f>
        <v>1403.23</v>
      </c>
      <c r="V172" s="84"/>
      <c r="W172" s="71" t="s">
        <v>543</v>
      </c>
      <c r="X172" s="31"/>
      <c r="Y172" s="31"/>
      <c r="Z172" s="31"/>
      <c r="AA172" s="31"/>
      <c r="AB172" s="31"/>
    </row>
    <row r="173" spans="1:28" ht="95.25" customHeight="1">
      <c r="A173" s="167"/>
      <c r="B173" s="142" t="s">
        <v>113</v>
      </c>
      <c r="C173" s="142" t="s">
        <v>199</v>
      </c>
      <c r="D173" s="95">
        <v>164</v>
      </c>
      <c r="E173" s="112" t="s">
        <v>116</v>
      </c>
      <c r="F173" s="31"/>
      <c r="G173" s="31">
        <v>43314.2</v>
      </c>
      <c r="H173" s="31">
        <v>2200</v>
      </c>
      <c r="I173" s="97">
        <f>120.92</f>
        <v>120.92</v>
      </c>
      <c r="J173" s="31"/>
      <c r="K173" s="31"/>
      <c r="L173" s="31">
        <f t="shared" si="19"/>
        <v>0</v>
      </c>
      <c r="M173" s="31"/>
      <c r="N173" s="31"/>
      <c r="O173" s="31"/>
      <c r="P173" s="32"/>
      <c r="Q173" s="31"/>
      <c r="R173" s="31"/>
      <c r="S173" s="31"/>
      <c r="T173" s="32">
        <f t="shared" si="18"/>
        <v>45635.119999999995</v>
      </c>
      <c r="U173" s="98">
        <f>131.9+10000+5000</f>
        <v>15131.9</v>
      </c>
      <c r="V173" s="84"/>
      <c r="W173" s="60" t="s">
        <v>541</v>
      </c>
      <c r="X173" s="31"/>
      <c r="Y173" s="31"/>
      <c r="Z173" s="31"/>
      <c r="AA173" s="31"/>
      <c r="AB173" s="31"/>
    </row>
    <row r="174" spans="1:28" ht="110.25">
      <c r="A174" s="167"/>
      <c r="B174" s="143"/>
      <c r="C174" s="143"/>
      <c r="D174" s="95">
        <v>165</v>
      </c>
      <c r="E174" s="112" t="s">
        <v>117</v>
      </c>
      <c r="F174" s="31"/>
      <c r="G174" s="31">
        <v>0</v>
      </c>
      <c r="H174" s="31">
        <v>2460</v>
      </c>
      <c r="I174" s="97"/>
      <c r="J174" s="31"/>
      <c r="K174" s="31"/>
      <c r="L174" s="31">
        <f t="shared" si="19"/>
        <v>0</v>
      </c>
      <c r="M174" s="31"/>
      <c r="N174" s="31"/>
      <c r="O174" s="31"/>
      <c r="P174" s="31"/>
      <c r="Q174" s="31"/>
      <c r="R174" s="31"/>
      <c r="S174" s="31"/>
      <c r="T174" s="32">
        <f t="shared" si="18"/>
        <v>2460</v>
      </c>
      <c r="U174" s="98">
        <v>9840</v>
      </c>
      <c r="V174" s="84"/>
      <c r="W174" s="60" t="s">
        <v>489</v>
      </c>
      <c r="X174" s="31"/>
      <c r="Y174" s="31"/>
      <c r="Z174" s="31"/>
      <c r="AA174" s="31"/>
      <c r="AB174" s="31"/>
    </row>
    <row r="175" spans="1:28" ht="81" customHeight="1">
      <c r="A175" s="167"/>
      <c r="B175" s="143"/>
      <c r="C175" s="143"/>
      <c r="D175" s="95">
        <v>166</v>
      </c>
      <c r="E175" s="113" t="s">
        <v>118</v>
      </c>
      <c r="F175" s="31"/>
      <c r="G175" s="97">
        <v>26137</v>
      </c>
      <c r="H175" s="97">
        <v>11450</v>
      </c>
      <c r="I175" s="97"/>
      <c r="J175" s="31"/>
      <c r="K175" s="31"/>
      <c r="L175" s="31">
        <f t="shared" si="19"/>
        <v>0</v>
      </c>
      <c r="M175" s="31"/>
      <c r="N175" s="31"/>
      <c r="O175" s="31"/>
      <c r="P175" s="31"/>
      <c r="Q175" s="31"/>
      <c r="R175" s="31"/>
      <c r="S175" s="31"/>
      <c r="T175" s="32">
        <f t="shared" si="18"/>
        <v>37587</v>
      </c>
      <c r="U175" s="98">
        <v>34750</v>
      </c>
      <c r="V175" s="84"/>
      <c r="W175" s="60" t="s">
        <v>490</v>
      </c>
      <c r="X175" s="31"/>
      <c r="Y175" s="31"/>
      <c r="Z175" s="31"/>
      <c r="AA175" s="31"/>
      <c r="AB175" s="31"/>
    </row>
    <row r="176" spans="1:28" ht="78.75">
      <c r="A176" s="167"/>
      <c r="B176" s="143"/>
      <c r="C176" s="143"/>
      <c r="D176" s="95">
        <v>167</v>
      </c>
      <c r="E176" s="112" t="s">
        <v>119</v>
      </c>
      <c r="F176" s="31"/>
      <c r="G176" s="31">
        <v>9615</v>
      </c>
      <c r="H176" s="31">
        <v>0</v>
      </c>
      <c r="I176" s="31"/>
      <c r="J176" s="31"/>
      <c r="K176" s="31"/>
      <c r="L176" s="31">
        <f t="shared" si="19"/>
        <v>0</v>
      </c>
      <c r="M176" s="31"/>
      <c r="N176" s="31"/>
      <c r="O176" s="31"/>
      <c r="P176" s="31"/>
      <c r="Q176" s="31"/>
      <c r="R176" s="31"/>
      <c r="S176" s="31"/>
      <c r="T176" s="32">
        <f t="shared" si="18"/>
        <v>9615</v>
      </c>
      <c r="U176" s="32">
        <v>0</v>
      </c>
      <c r="V176" s="84"/>
      <c r="W176" s="71" t="s">
        <v>399</v>
      </c>
      <c r="X176" s="31"/>
      <c r="Y176" s="31"/>
      <c r="Z176" s="31"/>
      <c r="AA176" s="31"/>
      <c r="AB176" s="31"/>
    </row>
    <row r="177" spans="1:28" ht="47.25">
      <c r="A177" s="167"/>
      <c r="B177" s="143"/>
      <c r="C177" s="143"/>
      <c r="D177" s="95">
        <v>168</v>
      </c>
      <c r="E177" s="112" t="s">
        <v>120</v>
      </c>
      <c r="F177" s="31"/>
      <c r="G177" s="31">
        <v>2083.1999999999998</v>
      </c>
      <c r="H177" s="31">
        <v>0</v>
      </c>
      <c r="I177" s="31"/>
      <c r="J177" s="31"/>
      <c r="K177" s="31"/>
      <c r="L177" s="31">
        <f t="shared" si="19"/>
        <v>0</v>
      </c>
      <c r="M177" s="31"/>
      <c r="N177" s="31"/>
      <c r="O177" s="31"/>
      <c r="P177" s="31"/>
      <c r="Q177" s="31"/>
      <c r="R177" s="31"/>
      <c r="S177" s="31"/>
      <c r="T177" s="32">
        <f t="shared" si="18"/>
        <v>2083.1999999999998</v>
      </c>
      <c r="U177" s="32">
        <v>2083.1999999999998</v>
      </c>
      <c r="V177" s="84"/>
      <c r="W177" s="71" t="s">
        <v>400</v>
      </c>
      <c r="X177" s="31"/>
      <c r="Y177" s="31"/>
      <c r="Z177" s="31"/>
      <c r="AA177" s="31"/>
      <c r="AB177" s="31"/>
    </row>
    <row r="178" spans="1:28" ht="183" customHeight="1">
      <c r="A178" s="167"/>
      <c r="B178" s="143"/>
      <c r="C178" s="143"/>
      <c r="D178" s="95">
        <v>169</v>
      </c>
      <c r="E178" s="38" t="s">
        <v>121</v>
      </c>
      <c r="F178" s="31"/>
      <c r="G178" s="97">
        <v>0</v>
      </c>
      <c r="H178" s="97">
        <f>237+1700</f>
        <v>1937</v>
      </c>
      <c r="I178" s="97">
        <v>585</v>
      </c>
      <c r="J178" s="31"/>
      <c r="K178" s="31"/>
      <c r="L178" s="31">
        <f t="shared" si="19"/>
        <v>0</v>
      </c>
      <c r="M178" s="31"/>
      <c r="N178" s="31"/>
      <c r="O178" s="31"/>
      <c r="P178" s="31"/>
      <c r="Q178" s="31"/>
      <c r="R178" s="31"/>
      <c r="S178" s="31"/>
      <c r="T178" s="32">
        <f t="shared" si="18"/>
        <v>2522</v>
      </c>
      <c r="U178" s="98">
        <f>799.5+1700+585</f>
        <v>3084.5</v>
      </c>
      <c r="V178" s="84" t="s">
        <v>438</v>
      </c>
      <c r="W178" s="71" t="s">
        <v>491</v>
      </c>
      <c r="X178" s="31"/>
      <c r="Y178" s="31"/>
      <c r="Z178" s="31"/>
      <c r="AA178" s="31"/>
      <c r="AB178" s="31"/>
    </row>
    <row r="179" spans="1:28" ht="62.25" customHeight="1">
      <c r="A179" s="167"/>
      <c r="B179" s="144"/>
      <c r="C179" s="144"/>
      <c r="D179" s="109">
        <v>170</v>
      </c>
      <c r="E179" s="38" t="s">
        <v>495</v>
      </c>
      <c r="F179" s="31"/>
      <c r="G179" s="97"/>
      <c r="H179" s="97"/>
      <c r="I179" s="97"/>
      <c r="J179" s="31"/>
      <c r="K179" s="31"/>
      <c r="L179" s="31"/>
      <c r="M179" s="31"/>
      <c r="N179" s="31"/>
      <c r="O179" s="31"/>
      <c r="P179" s="31"/>
      <c r="Q179" s="31"/>
      <c r="R179" s="31"/>
      <c r="S179" s="31"/>
      <c r="T179" s="32"/>
      <c r="U179" s="98"/>
      <c r="V179" s="84"/>
      <c r="W179" s="71"/>
      <c r="X179" s="31"/>
      <c r="Y179" s="31"/>
      <c r="Z179" s="31"/>
      <c r="AA179" s="31"/>
      <c r="AB179" s="31"/>
    </row>
    <row r="180" spans="1:28" ht="31.5">
      <c r="A180" s="167"/>
      <c r="B180" s="150" t="s">
        <v>115</v>
      </c>
      <c r="C180" s="150" t="s">
        <v>123</v>
      </c>
      <c r="D180" s="95">
        <v>171</v>
      </c>
      <c r="E180" s="30" t="s">
        <v>124</v>
      </c>
      <c r="F180" s="31"/>
      <c r="G180" s="31"/>
      <c r="H180" s="31"/>
      <c r="I180" s="31"/>
      <c r="J180" s="31"/>
      <c r="K180" s="31"/>
      <c r="L180" s="31">
        <f t="shared" si="19"/>
        <v>0</v>
      </c>
      <c r="M180" s="31"/>
      <c r="N180" s="31"/>
      <c r="O180" s="31"/>
      <c r="P180" s="31"/>
      <c r="Q180" s="31">
        <v>15</v>
      </c>
      <c r="R180" s="31"/>
      <c r="S180" s="31"/>
      <c r="T180" s="32">
        <f t="shared" si="18"/>
        <v>15</v>
      </c>
      <c r="U180" s="32">
        <v>15.75</v>
      </c>
      <c r="V180" s="84"/>
      <c r="W180" s="71" t="s">
        <v>534</v>
      </c>
      <c r="X180" s="31"/>
      <c r="Y180" s="31"/>
      <c r="Z180" s="31"/>
      <c r="AA180" s="31"/>
      <c r="AB180" s="31"/>
    </row>
    <row r="181" spans="1:28" ht="393.75">
      <c r="A181" s="167"/>
      <c r="B181" s="151"/>
      <c r="C181" s="151"/>
      <c r="D181" s="95">
        <v>172</v>
      </c>
      <c r="E181" s="112" t="s">
        <v>125</v>
      </c>
      <c r="F181" s="31"/>
      <c r="G181" s="31"/>
      <c r="H181" s="31"/>
      <c r="I181" s="31"/>
      <c r="J181" s="31"/>
      <c r="K181" s="31"/>
      <c r="L181" s="31">
        <f t="shared" si="19"/>
        <v>0</v>
      </c>
      <c r="M181" s="31"/>
      <c r="N181" s="31"/>
      <c r="O181" s="31"/>
      <c r="P181" s="31">
        <v>33336.444000000003</v>
      </c>
      <c r="Q181" s="31">
        <v>15</v>
      </c>
      <c r="R181" s="31"/>
      <c r="S181" s="31"/>
      <c r="T181" s="32">
        <f t="shared" si="18"/>
        <v>33351.444000000003</v>
      </c>
      <c r="U181" s="32">
        <f>36670.0884+15.75</f>
        <v>36685.838400000001</v>
      </c>
      <c r="V181" s="84"/>
      <c r="W181" s="71" t="s">
        <v>397</v>
      </c>
      <c r="X181" s="31"/>
      <c r="Y181" s="31"/>
      <c r="Z181" s="31"/>
      <c r="AA181" s="31"/>
      <c r="AB181" s="31"/>
    </row>
    <row r="182" spans="1:28">
      <c r="A182" s="167"/>
      <c r="B182" s="151"/>
      <c r="C182" s="151"/>
      <c r="D182" s="95">
        <v>173</v>
      </c>
      <c r="E182" s="39" t="s">
        <v>148</v>
      </c>
      <c r="F182" s="31"/>
      <c r="G182" s="31"/>
      <c r="H182" s="31"/>
      <c r="I182" s="31"/>
      <c r="J182" s="31"/>
      <c r="K182" s="31"/>
      <c r="L182" s="31">
        <f t="shared" si="19"/>
        <v>0</v>
      </c>
      <c r="M182" s="31"/>
      <c r="N182" s="31"/>
      <c r="O182" s="31"/>
      <c r="P182" s="31"/>
      <c r="Q182" s="31"/>
      <c r="R182" s="31"/>
      <c r="S182" s="31"/>
      <c r="T182" s="32">
        <f t="shared" si="18"/>
        <v>0</v>
      </c>
      <c r="U182" s="32"/>
      <c r="V182" s="84"/>
      <c r="W182" s="71"/>
      <c r="X182" s="31"/>
      <c r="Y182" s="31"/>
      <c r="Z182" s="31"/>
      <c r="AA182" s="31"/>
      <c r="AB182" s="31"/>
    </row>
    <row r="183" spans="1:28">
      <c r="A183" s="167"/>
      <c r="B183" s="151"/>
      <c r="C183" s="151"/>
      <c r="D183" s="95">
        <v>174</v>
      </c>
      <c r="E183" s="30" t="s">
        <v>126</v>
      </c>
      <c r="F183" s="31"/>
      <c r="G183" s="31"/>
      <c r="H183" s="31"/>
      <c r="I183" s="31"/>
      <c r="J183" s="31"/>
      <c r="K183" s="31"/>
      <c r="L183" s="31">
        <f t="shared" si="19"/>
        <v>0</v>
      </c>
      <c r="M183" s="31"/>
      <c r="N183" s="31"/>
      <c r="O183" s="31"/>
      <c r="P183" s="31"/>
      <c r="Q183" s="31"/>
      <c r="R183" s="31"/>
      <c r="S183" s="31"/>
      <c r="T183" s="32">
        <f t="shared" si="18"/>
        <v>0</v>
      </c>
      <c r="U183" s="32"/>
      <c r="V183" s="84"/>
      <c r="W183" s="71"/>
      <c r="X183" s="31"/>
      <c r="Y183" s="31"/>
      <c r="Z183" s="31"/>
      <c r="AA183" s="31"/>
      <c r="AB183" s="31"/>
    </row>
    <row r="184" spans="1:28" ht="126">
      <c r="A184" s="167"/>
      <c r="B184" s="150" t="s">
        <v>122</v>
      </c>
      <c r="C184" s="150" t="s">
        <v>102</v>
      </c>
      <c r="D184" s="95">
        <v>175</v>
      </c>
      <c r="E184" s="30" t="s">
        <v>230</v>
      </c>
      <c r="F184" s="31"/>
      <c r="G184" s="31"/>
      <c r="H184" s="31"/>
      <c r="I184" s="31"/>
      <c r="J184" s="31"/>
      <c r="K184" s="31"/>
      <c r="L184" s="31">
        <f t="shared" si="19"/>
        <v>0</v>
      </c>
      <c r="M184" s="31"/>
      <c r="N184" s="31">
        <f>71.1+21.4</f>
        <v>92.5</v>
      </c>
      <c r="O184" s="31"/>
      <c r="P184" s="31">
        <v>228.77</v>
      </c>
      <c r="Q184" s="31">
        <v>23.37</v>
      </c>
      <c r="R184" s="31">
        <v>39.65</v>
      </c>
      <c r="S184" s="31">
        <v>0</v>
      </c>
      <c r="T184" s="32">
        <f t="shared" si="18"/>
        <v>384.28999999999996</v>
      </c>
      <c r="U184" s="32">
        <f>372+23.42+24.53</f>
        <v>419.95000000000005</v>
      </c>
      <c r="V184" s="84"/>
      <c r="W184" s="71" t="s">
        <v>535</v>
      </c>
      <c r="X184" s="31"/>
      <c r="Y184" s="31"/>
      <c r="Z184" s="31"/>
      <c r="AA184" s="31"/>
      <c r="AB184" s="31"/>
    </row>
    <row r="185" spans="1:28" ht="94.5">
      <c r="A185" s="167"/>
      <c r="B185" s="151"/>
      <c r="C185" s="151"/>
      <c r="D185" s="95">
        <v>176</v>
      </c>
      <c r="E185" s="30" t="s">
        <v>103</v>
      </c>
      <c r="F185" s="31"/>
      <c r="G185" s="31"/>
      <c r="H185" s="31"/>
      <c r="I185" s="31"/>
      <c r="J185" s="31"/>
      <c r="K185" s="31"/>
      <c r="L185" s="31">
        <f t="shared" si="19"/>
        <v>0</v>
      </c>
      <c r="M185" s="31"/>
      <c r="N185" s="31"/>
      <c r="O185" s="31"/>
      <c r="P185" s="31">
        <f>883.17+750</f>
        <v>1633.17</v>
      </c>
      <c r="Q185" s="31"/>
      <c r="R185" s="31"/>
      <c r="S185" s="31"/>
      <c r="T185" s="32">
        <f t="shared" si="18"/>
        <v>1633.17</v>
      </c>
      <c r="U185" s="32">
        <f>971+825</f>
        <v>1796</v>
      </c>
      <c r="V185" s="84"/>
      <c r="W185" s="71" t="s">
        <v>396</v>
      </c>
      <c r="X185" s="31"/>
      <c r="Y185" s="31"/>
      <c r="Z185" s="31"/>
      <c r="AA185" s="31"/>
      <c r="AB185" s="31"/>
    </row>
    <row r="186" spans="1:28">
      <c r="A186" s="167"/>
      <c r="B186" s="151"/>
      <c r="C186" s="151"/>
      <c r="D186" s="95">
        <v>177</v>
      </c>
      <c r="E186" s="30" t="s">
        <v>128</v>
      </c>
      <c r="F186" s="31"/>
      <c r="G186" s="31"/>
      <c r="H186" s="31"/>
      <c r="I186" s="31"/>
      <c r="J186" s="31"/>
      <c r="K186" s="31"/>
      <c r="L186" s="31">
        <f t="shared" si="19"/>
        <v>0</v>
      </c>
      <c r="M186" s="31"/>
      <c r="N186" s="31"/>
      <c r="O186" s="31"/>
      <c r="P186" s="31">
        <v>78</v>
      </c>
      <c r="Q186" s="31"/>
      <c r="R186" s="31"/>
      <c r="S186" s="31"/>
      <c r="T186" s="32">
        <f t="shared" si="18"/>
        <v>78</v>
      </c>
      <c r="U186" s="32">
        <v>85</v>
      </c>
      <c r="V186" s="84"/>
      <c r="W186" s="71" t="s">
        <v>368</v>
      </c>
      <c r="X186" s="31"/>
      <c r="Y186" s="31"/>
      <c r="Z186" s="31"/>
      <c r="AA186" s="31"/>
      <c r="AB186" s="31"/>
    </row>
    <row r="187" spans="1:28" ht="409.5" customHeight="1">
      <c r="A187" s="167"/>
      <c r="B187" s="150" t="s">
        <v>127</v>
      </c>
      <c r="C187" s="150" t="s">
        <v>130</v>
      </c>
      <c r="D187" s="95">
        <v>178</v>
      </c>
      <c r="E187" s="113" t="s">
        <v>150</v>
      </c>
      <c r="F187" s="31"/>
      <c r="G187" s="31"/>
      <c r="H187" s="31"/>
      <c r="I187" s="31"/>
      <c r="J187" s="31"/>
      <c r="K187" s="31"/>
      <c r="L187" s="31">
        <f t="shared" si="19"/>
        <v>0</v>
      </c>
      <c r="M187" s="31"/>
      <c r="N187" s="31"/>
      <c r="O187" s="31"/>
      <c r="P187" s="31">
        <v>722.4</v>
      </c>
      <c r="Q187" s="31"/>
      <c r="R187" s="31"/>
      <c r="S187" s="31"/>
      <c r="T187" s="32">
        <f t="shared" si="18"/>
        <v>722.4</v>
      </c>
      <c r="U187" s="32">
        <v>758.52</v>
      </c>
      <c r="V187" s="84"/>
      <c r="W187" s="71" t="s">
        <v>436</v>
      </c>
      <c r="X187" s="31"/>
      <c r="Y187" s="31"/>
      <c r="Z187" s="31"/>
      <c r="AA187" s="31"/>
      <c r="AB187" s="31"/>
    </row>
    <row r="188" spans="1:28" ht="33" customHeight="1">
      <c r="A188" s="167"/>
      <c r="B188" s="151"/>
      <c r="C188" s="151"/>
      <c r="D188" s="95">
        <v>179</v>
      </c>
      <c r="E188" s="33" t="s">
        <v>81</v>
      </c>
      <c r="F188" s="31"/>
      <c r="G188" s="31"/>
      <c r="H188" s="31"/>
      <c r="I188" s="31"/>
      <c r="J188" s="31"/>
      <c r="K188" s="31"/>
      <c r="L188" s="31">
        <f t="shared" si="19"/>
        <v>0</v>
      </c>
      <c r="M188" s="31"/>
      <c r="N188" s="31"/>
      <c r="O188" s="31"/>
      <c r="P188" s="31"/>
      <c r="Q188" s="31"/>
      <c r="R188" s="31"/>
      <c r="S188" s="31"/>
      <c r="T188" s="32">
        <f t="shared" si="18"/>
        <v>0</v>
      </c>
      <c r="U188" s="32"/>
      <c r="V188" s="84"/>
      <c r="W188" s="71"/>
      <c r="X188" s="31"/>
      <c r="Y188" s="31"/>
      <c r="Z188" s="31"/>
      <c r="AA188" s="31"/>
      <c r="AB188" s="31"/>
    </row>
    <row r="189" spans="1:28" ht="141.75">
      <c r="A189" s="167"/>
      <c r="B189" s="151"/>
      <c r="C189" s="151"/>
      <c r="D189" s="95">
        <v>180</v>
      </c>
      <c r="E189" s="38" t="s">
        <v>131</v>
      </c>
      <c r="F189" s="31"/>
      <c r="G189" s="31"/>
      <c r="H189" s="31"/>
      <c r="I189" s="31"/>
      <c r="J189" s="31"/>
      <c r="K189" s="31">
        <v>20000</v>
      </c>
      <c r="L189" s="31">
        <f t="shared" si="19"/>
        <v>20000</v>
      </c>
      <c r="M189" s="31"/>
      <c r="N189" s="31"/>
      <c r="O189" s="31"/>
      <c r="P189" s="31">
        <v>218.43</v>
      </c>
      <c r="Q189" s="31">
        <f>35.9</f>
        <v>35.9</v>
      </c>
      <c r="R189" s="31"/>
      <c r="S189" s="31"/>
      <c r="T189" s="32">
        <f t="shared" si="18"/>
        <v>20254.330000000002</v>
      </c>
      <c r="U189" s="32">
        <f>21300+37.69</f>
        <v>21337.69</v>
      </c>
      <c r="V189" s="84"/>
      <c r="W189" s="71" t="s">
        <v>449</v>
      </c>
      <c r="X189" s="31"/>
      <c r="Y189" s="31"/>
      <c r="Z189" s="31"/>
      <c r="AA189" s="31"/>
      <c r="AB189" s="31"/>
    </row>
    <row r="190" spans="1:28" ht="409.5">
      <c r="A190" s="167"/>
      <c r="B190" s="151"/>
      <c r="C190" s="151"/>
      <c r="D190" s="95">
        <v>181</v>
      </c>
      <c r="E190" s="38" t="s">
        <v>132</v>
      </c>
      <c r="F190" s="30"/>
      <c r="G190" s="31"/>
      <c r="H190" s="31"/>
      <c r="I190" s="31">
        <v>180.81</v>
      </c>
      <c r="J190" s="31"/>
      <c r="K190" s="31"/>
      <c r="L190" s="31">
        <f t="shared" si="19"/>
        <v>0</v>
      </c>
      <c r="M190" s="31">
        <v>17209.115000000002</v>
      </c>
      <c r="N190" s="31"/>
      <c r="O190" s="31"/>
      <c r="P190" s="31">
        <v>87</v>
      </c>
      <c r="Q190" s="97">
        <v>80</v>
      </c>
      <c r="R190" s="31">
        <v>10</v>
      </c>
      <c r="S190" s="31"/>
      <c r="T190" s="32">
        <f t="shared" si="18"/>
        <v>17566.925000000003</v>
      </c>
      <c r="U190" s="32">
        <f>19431.7435</f>
        <v>19431.7435</v>
      </c>
      <c r="V190" s="84"/>
      <c r="W190" s="71" t="s">
        <v>536</v>
      </c>
      <c r="X190" s="31"/>
      <c r="Y190" s="31"/>
      <c r="Z190" s="31"/>
      <c r="AA190" s="31"/>
      <c r="AB190" s="31"/>
    </row>
    <row r="191" spans="1:28" ht="126">
      <c r="A191" s="167"/>
      <c r="B191" s="151"/>
      <c r="C191" s="151"/>
      <c r="D191" s="95">
        <v>182</v>
      </c>
      <c r="E191" s="30" t="s">
        <v>105</v>
      </c>
      <c r="F191" s="31"/>
      <c r="G191" s="31"/>
      <c r="H191" s="31"/>
      <c r="I191" s="31"/>
      <c r="J191" s="31"/>
      <c r="K191" s="31"/>
      <c r="L191" s="31">
        <f t="shared" si="19"/>
        <v>0</v>
      </c>
      <c r="M191" s="31"/>
      <c r="N191" s="31"/>
      <c r="O191" s="31"/>
      <c r="P191" s="31">
        <v>144</v>
      </c>
      <c r="Q191" s="31"/>
      <c r="R191" s="31"/>
      <c r="S191" s="31"/>
      <c r="T191" s="32">
        <f t="shared" si="18"/>
        <v>144</v>
      </c>
      <c r="U191" s="32">
        <v>158.4</v>
      </c>
      <c r="V191" s="84"/>
      <c r="W191" s="71" t="s">
        <v>383</v>
      </c>
      <c r="X191" s="31"/>
      <c r="Y191" s="31"/>
      <c r="Z191" s="31"/>
      <c r="AA191" s="31"/>
      <c r="AB191" s="31"/>
    </row>
    <row r="192" spans="1:28" ht="47.25">
      <c r="A192" s="167"/>
      <c r="B192" s="151"/>
      <c r="C192" s="151"/>
      <c r="D192" s="95">
        <v>183</v>
      </c>
      <c r="E192" s="33" t="s">
        <v>200</v>
      </c>
      <c r="F192" s="31"/>
      <c r="G192" s="31"/>
      <c r="H192" s="31"/>
      <c r="I192" s="31"/>
      <c r="J192" s="31"/>
      <c r="K192" s="31"/>
      <c r="L192" s="31">
        <f t="shared" si="19"/>
        <v>0</v>
      </c>
      <c r="M192" s="31"/>
      <c r="N192" s="31"/>
      <c r="O192" s="31"/>
      <c r="P192" s="31">
        <v>743.57</v>
      </c>
      <c r="Q192" s="97"/>
      <c r="R192" s="31"/>
      <c r="S192" s="31"/>
      <c r="T192" s="32">
        <f t="shared" si="18"/>
        <v>743.57</v>
      </c>
      <c r="U192" s="32">
        <f>52.5+817.93</f>
        <v>870.43</v>
      </c>
      <c r="V192" s="84"/>
      <c r="W192" s="71" t="s">
        <v>416</v>
      </c>
      <c r="X192" s="31"/>
      <c r="Y192" s="31"/>
      <c r="Z192" s="31"/>
      <c r="AA192" s="31"/>
      <c r="AB192" s="31"/>
    </row>
    <row r="193" spans="1:28" ht="63">
      <c r="A193" s="167"/>
      <c r="B193" s="43" t="s">
        <v>129</v>
      </c>
      <c r="C193" s="43" t="s">
        <v>133</v>
      </c>
      <c r="D193" s="95">
        <v>184</v>
      </c>
      <c r="E193" s="30" t="s">
        <v>164</v>
      </c>
      <c r="F193" s="31"/>
      <c r="G193" s="31"/>
      <c r="H193" s="31"/>
      <c r="I193" s="31"/>
      <c r="J193" s="31"/>
      <c r="K193" s="31"/>
      <c r="L193" s="31">
        <f t="shared" si="19"/>
        <v>0</v>
      </c>
      <c r="M193" s="31"/>
      <c r="N193" s="31"/>
      <c r="O193" s="31"/>
      <c r="P193" s="31">
        <v>658</v>
      </c>
      <c r="Q193" s="31">
        <v>56.62</v>
      </c>
      <c r="R193" s="31"/>
      <c r="S193" s="31"/>
      <c r="T193" s="32">
        <f t="shared" si="18"/>
        <v>714.62</v>
      </c>
      <c r="U193" s="32">
        <f>700+59.45</f>
        <v>759.45</v>
      </c>
      <c r="V193" s="84"/>
      <c r="W193" s="71" t="s">
        <v>537</v>
      </c>
      <c r="X193" s="31"/>
      <c r="Y193" s="31"/>
      <c r="Z193" s="31"/>
      <c r="AA193" s="31"/>
      <c r="AB193" s="31"/>
    </row>
    <row r="194" spans="1:28" ht="78.75">
      <c r="A194" s="167"/>
      <c r="B194" s="150" t="s">
        <v>243</v>
      </c>
      <c r="C194" s="150" t="s">
        <v>134</v>
      </c>
      <c r="D194" s="95">
        <v>185</v>
      </c>
      <c r="E194" s="30" t="s">
        <v>203</v>
      </c>
      <c r="F194" s="40"/>
      <c r="G194" s="40"/>
      <c r="H194" s="40"/>
      <c r="I194" s="40"/>
      <c r="J194" s="40"/>
      <c r="K194" s="40"/>
      <c r="L194" s="40"/>
      <c r="M194" s="40"/>
      <c r="N194" s="40"/>
      <c r="O194" s="40"/>
      <c r="P194" s="40"/>
      <c r="Q194" s="40"/>
      <c r="R194" s="40"/>
      <c r="S194" s="40"/>
      <c r="T194" s="98">
        <v>111933.1</v>
      </c>
      <c r="U194" s="98">
        <v>117529.75</v>
      </c>
      <c r="V194" s="84"/>
      <c r="W194" s="71" t="s">
        <v>498</v>
      </c>
      <c r="X194" s="31"/>
      <c r="Y194" s="31"/>
      <c r="Z194" s="31"/>
      <c r="AA194" s="31"/>
      <c r="AB194" s="31"/>
    </row>
    <row r="195" spans="1:28" ht="220.5">
      <c r="A195" s="167"/>
      <c r="B195" s="150"/>
      <c r="C195" s="150"/>
      <c r="D195" s="95">
        <v>186</v>
      </c>
      <c r="E195" s="30" t="s">
        <v>204</v>
      </c>
      <c r="F195" s="31"/>
      <c r="G195" s="31"/>
      <c r="H195" s="31"/>
      <c r="I195" s="31"/>
      <c r="J195" s="31"/>
      <c r="K195" s="31"/>
      <c r="L195" s="31">
        <f t="shared" ref="L195" si="20">J195+K195</f>
        <v>0</v>
      </c>
      <c r="M195" s="31"/>
      <c r="N195" s="31"/>
      <c r="O195" s="31"/>
      <c r="P195" s="4">
        <v>2540.91</v>
      </c>
      <c r="Q195" s="31"/>
      <c r="R195" s="31"/>
      <c r="S195" s="31"/>
      <c r="T195" s="98">
        <f t="shared" si="18"/>
        <v>2540.91</v>
      </c>
      <c r="U195" s="99">
        <f>364.9+17.16+556.27+1706.25</f>
        <v>2644.58</v>
      </c>
      <c r="V195" s="84"/>
      <c r="W195" s="102" t="s">
        <v>499</v>
      </c>
      <c r="X195" s="31"/>
      <c r="Y195" s="31"/>
      <c r="Z195" s="31"/>
      <c r="AA195" s="31"/>
      <c r="AB195" s="31"/>
    </row>
    <row r="196" spans="1:28">
      <c r="A196" s="167"/>
      <c r="B196" s="150"/>
      <c r="C196" s="150"/>
      <c r="D196" s="95">
        <v>187</v>
      </c>
      <c r="E196" s="30" t="s">
        <v>201</v>
      </c>
      <c r="F196" s="40"/>
      <c r="G196" s="40"/>
      <c r="H196" s="40"/>
      <c r="I196" s="40"/>
      <c r="J196" s="40"/>
      <c r="K196" s="40"/>
      <c r="L196" s="40"/>
      <c r="M196" s="40"/>
      <c r="N196" s="40"/>
      <c r="O196" s="40"/>
      <c r="P196" s="40"/>
      <c r="Q196" s="40"/>
      <c r="R196" s="40"/>
      <c r="S196" s="40"/>
      <c r="T196" s="32">
        <v>10308.48</v>
      </c>
      <c r="U196" s="32">
        <v>10823.903999999999</v>
      </c>
      <c r="V196" s="84"/>
      <c r="W196" s="71" t="s">
        <v>463</v>
      </c>
      <c r="X196" s="31"/>
      <c r="Y196" s="31"/>
      <c r="Z196" s="31"/>
      <c r="AA196" s="31"/>
      <c r="AB196" s="31"/>
    </row>
    <row r="197" spans="1:28" ht="283.5">
      <c r="A197" s="167"/>
      <c r="B197" s="150"/>
      <c r="C197" s="150"/>
      <c r="D197" s="95">
        <v>188</v>
      </c>
      <c r="E197" s="30" t="s">
        <v>135</v>
      </c>
      <c r="F197" s="31"/>
      <c r="G197" s="31"/>
      <c r="H197" s="31"/>
      <c r="I197" s="31"/>
      <c r="J197" s="31"/>
      <c r="K197" s="31"/>
      <c r="L197" s="31">
        <f t="shared" ref="L197:L208" si="21">J197+K197</f>
        <v>0</v>
      </c>
      <c r="M197" s="31"/>
      <c r="N197" s="31"/>
      <c r="O197" s="31"/>
      <c r="P197" s="4">
        <v>5851.2</v>
      </c>
      <c r="Q197" s="31"/>
      <c r="R197" s="31"/>
      <c r="S197" s="31"/>
      <c r="T197" s="32">
        <f t="shared" si="18"/>
        <v>5851.2</v>
      </c>
      <c r="U197" s="32">
        <v>6143.76</v>
      </c>
      <c r="V197" s="84"/>
      <c r="W197" s="71" t="s">
        <v>464</v>
      </c>
      <c r="X197" s="31"/>
      <c r="Y197" s="31"/>
      <c r="Z197" s="31"/>
      <c r="AA197" s="31"/>
      <c r="AB197" s="31"/>
    </row>
    <row r="198" spans="1:28" ht="31.5">
      <c r="A198" s="167"/>
      <c r="B198" s="150"/>
      <c r="C198" s="150"/>
      <c r="D198" s="95">
        <v>189</v>
      </c>
      <c r="E198" s="30" t="s">
        <v>202</v>
      </c>
      <c r="F198" s="31"/>
      <c r="G198" s="31"/>
      <c r="H198" s="31"/>
      <c r="I198" s="31"/>
      <c r="J198" s="31"/>
      <c r="K198" s="31"/>
      <c r="L198" s="31">
        <f t="shared" si="21"/>
        <v>0</v>
      </c>
      <c r="M198" s="31"/>
      <c r="N198" s="31"/>
      <c r="O198" s="31"/>
      <c r="P198" s="34">
        <f>400</f>
        <v>400</v>
      </c>
      <c r="Q198" s="34"/>
      <c r="R198" s="34"/>
      <c r="S198" s="34"/>
      <c r="T198" s="42">
        <f t="shared" si="18"/>
        <v>400</v>
      </c>
      <c r="U198" s="42">
        <f>400</f>
        <v>400</v>
      </c>
      <c r="V198" s="84"/>
      <c r="W198" s="71" t="s">
        <v>441</v>
      </c>
      <c r="X198" s="31"/>
      <c r="Y198" s="31"/>
      <c r="Z198" s="31"/>
      <c r="AA198" s="31"/>
      <c r="AB198" s="31"/>
    </row>
    <row r="199" spans="1:28" ht="78.75">
      <c r="A199" s="167"/>
      <c r="B199" s="150"/>
      <c r="C199" s="150"/>
      <c r="D199" s="95">
        <v>190</v>
      </c>
      <c r="E199" s="30" t="s">
        <v>146</v>
      </c>
      <c r="F199" s="31"/>
      <c r="G199" s="31"/>
      <c r="H199" s="31"/>
      <c r="I199" s="31"/>
      <c r="J199" s="31"/>
      <c r="K199" s="31"/>
      <c r="L199" s="31">
        <f t="shared" si="21"/>
        <v>0</v>
      </c>
      <c r="M199" s="31"/>
      <c r="N199" s="31"/>
      <c r="O199" s="31"/>
      <c r="P199" s="31">
        <f>52.39+100</f>
        <v>152.38999999999999</v>
      </c>
      <c r="Q199" s="31"/>
      <c r="R199" s="31"/>
      <c r="S199" s="31"/>
      <c r="T199" s="32">
        <f t="shared" si="18"/>
        <v>152.38999999999999</v>
      </c>
      <c r="U199" s="98">
        <f>84.029+150+57.62</f>
        <v>291.649</v>
      </c>
      <c r="V199" s="84"/>
      <c r="W199" s="71" t="s">
        <v>417</v>
      </c>
      <c r="X199" s="31"/>
      <c r="Y199" s="31"/>
      <c r="Z199" s="31"/>
      <c r="AA199" s="31"/>
      <c r="AB199" s="31"/>
    </row>
    <row r="200" spans="1:28" ht="31.5">
      <c r="A200" s="167"/>
      <c r="B200" s="150" t="s">
        <v>207</v>
      </c>
      <c r="C200" s="150" t="s">
        <v>137</v>
      </c>
      <c r="D200" s="95">
        <v>191</v>
      </c>
      <c r="E200" s="30" t="s">
        <v>138</v>
      </c>
      <c r="F200" s="31"/>
      <c r="G200" s="31"/>
      <c r="H200" s="31"/>
      <c r="I200" s="31"/>
      <c r="J200" s="31"/>
      <c r="K200" s="31"/>
      <c r="L200" s="31">
        <f t="shared" si="21"/>
        <v>0</v>
      </c>
      <c r="M200" s="31"/>
      <c r="N200" s="31">
        <v>18</v>
      </c>
      <c r="O200" s="31"/>
      <c r="P200" s="31"/>
      <c r="Q200" s="31"/>
      <c r="R200" s="31"/>
      <c r="S200" s="31"/>
      <c r="T200" s="32">
        <f t="shared" si="18"/>
        <v>18</v>
      </c>
      <c r="U200" s="32">
        <v>18</v>
      </c>
      <c r="V200" s="84"/>
      <c r="W200" s="82" t="s">
        <v>380</v>
      </c>
      <c r="X200" s="31"/>
      <c r="Y200" s="31"/>
      <c r="Z200" s="31"/>
      <c r="AA200" s="31"/>
      <c r="AB200" s="31"/>
    </row>
    <row r="201" spans="1:28" ht="63">
      <c r="A201" s="167"/>
      <c r="B201" s="151"/>
      <c r="C201" s="151"/>
      <c r="D201" s="95">
        <v>192</v>
      </c>
      <c r="E201" s="30" t="s">
        <v>205</v>
      </c>
      <c r="F201" s="31"/>
      <c r="G201" s="31"/>
      <c r="H201" s="31"/>
      <c r="I201" s="31">
        <v>0</v>
      </c>
      <c r="J201" s="31"/>
      <c r="K201" s="31"/>
      <c r="L201" s="31">
        <f t="shared" si="21"/>
        <v>0</v>
      </c>
      <c r="M201" s="31"/>
      <c r="N201" s="34">
        <v>50.42</v>
      </c>
      <c r="O201" s="31"/>
      <c r="P201" s="31">
        <f>723.45</f>
        <v>723.45</v>
      </c>
      <c r="Q201" s="31"/>
      <c r="R201" s="31"/>
      <c r="S201" s="31"/>
      <c r="T201" s="32">
        <f t="shared" si="18"/>
        <v>773.87</v>
      </c>
      <c r="U201" s="32">
        <f>851.26</f>
        <v>851.26</v>
      </c>
      <c r="V201" s="84"/>
      <c r="W201" s="71" t="s">
        <v>471</v>
      </c>
      <c r="X201" s="31"/>
      <c r="Y201" s="31"/>
      <c r="Z201" s="31"/>
      <c r="AA201" s="31"/>
      <c r="AB201" s="31"/>
    </row>
    <row r="202" spans="1:28" ht="25.5" customHeight="1">
      <c r="A202" s="167"/>
      <c r="B202" s="150" t="s">
        <v>136</v>
      </c>
      <c r="C202" s="150" t="s">
        <v>139</v>
      </c>
      <c r="D202" s="109">
        <v>193</v>
      </c>
      <c r="E202" s="30" t="s">
        <v>140</v>
      </c>
      <c r="F202" s="47"/>
      <c r="G202" s="31"/>
      <c r="H202" s="31"/>
      <c r="I202" s="31"/>
      <c r="J202" s="31"/>
      <c r="K202" s="31"/>
      <c r="L202" s="31">
        <f t="shared" si="21"/>
        <v>0</v>
      </c>
      <c r="M202" s="31"/>
      <c r="N202" s="31"/>
      <c r="O202" s="31"/>
      <c r="P202" s="31"/>
      <c r="Q202" s="31"/>
      <c r="R202" s="31"/>
      <c r="S202" s="31"/>
      <c r="T202" s="32">
        <f t="shared" si="18"/>
        <v>0</v>
      </c>
      <c r="U202" s="32"/>
      <c r="V202" s="84"/>
      <c r="W202" s="71"/>
      <c r="X202" s="31"/>
      <c r="Y202" s="31"/>
      <c r="Z202" s="31"/>
      <c r="AA202" s="31"/>
      <c r="AB202" s="31"/>
    </row>
    <row r="203" spans="1:28" ht="31.5">
      <c r="A203" s="167"/>
      <c r="B203" s="150"/>
      <c r="C203" s="150"/>
      <c r="D203" s="95">
        <v>194</v>
      </c>
      <c r="E203" s="110" t="s">
        <v>496</v>
      </c>
      <c r="F203" s="47"/>
      <c r="G203" s="31"/>
      <c r="H203" s="31"/>
      <c r="I203" s="31"/>
      <c r="J203" s="31"/>
      <c r="K203" s="31"/>
      <c r="L203" s="31"/>
      <c r="M203" s="31"/>
      <c r="N203" s="31"/>
      <c r="O203" s="31"/>
      <c r="P203" s="31"/>
      <c r="Q203" s="31"/>
      <c r="R203" s="31"/>
      <c r="S203" s="31"/>
      <c r="T203" s="32"/>
      <c r="U203" s="32"/>
      <c r="V203" s="84"/>
      <c r="W203" s="71"/>
      <c r="X203" s="31"/>
      <c r="Y203" s="31"/>
      <c r="Z203" s="31"/>
      <c r="AA203" s="31"/>
      <c r="AB203" s="31"/>
    </row>
    <row r="204" spans="1:28" ht="386.25" customHeight="1">
      <c r="A204" s="167"/>
      <c r="B204" s="151"/>
      <c r="C204" s="150"/>
      <c r="D204" s="95">
        <v>195</v>
      </c>
      <c r="E204" s="114" t="s">
        <v>151</v>
      </c>
      <c r="F204" s="47"/>
      <c r="G204" s="31"/>
      <c r="H204" s="31"/>
      <c r="I204" s="31"/>
      <c r="J204" s="31"/>
      <c r="K204" s="31"/>
      <c r="L204" s="31">
        <f t="shared" si="21"/>
        <v>0</v>
      </c>
      <c r="M204" s="31"/>
      <c r="N204" s="31">
        <f>30.3+30</f>
        <v>60.3</v>
      </c>
      <c r="O204" s="31"/>
      <c r="P204" s="31"/>
      <c r="Q204" s="31"/>
      <c r="R204" s="31">
        <f>832.92+3129.12+455.194+338.72+68.87</f>
        <v>4824.8240000000005</v>
      </c>
      <c r="S204" s="31"/>
      <c r="T204" s="32">
        <f t="shared" si="18"/>
        <v>4885.1240000000007</v>
      </c>
      <c r="U204" s="32">
        <f>924.01+3285.58+528.79+30.3+686.15+68.87</f>
        <v>5523.7</v>
      </c>
      <c r="V204" s="84"/>
      <c r="W204" s="60" t="s">
        <v>497</v>
      </c>
      <c r="X204" s="31"/>
      <c r="Y204" s="31"/>
      <c r="Z204" s="31"/>
      <c r="AA204" s="31"/>
      <c r="AB204" s="31"/>
    </row>
    <row r="205" spans="1:28" ht="267.75">
      <c r="A205" s="167"/>
      <c r="B205" s="150" t="s">
        <v>206</v>
      </c>
      <c r="C205" s="150" t="s">
        <v>143</v>
      </c>
      <c r="D205" s="95">
        <v>196</v>
      </c>
      <c r="E205" s="30" t="s">
        <v>348</v>
      </c>
      <c r="F205" s="31"/>
      <c r="G205" s="31"/>
      <c r="H205" s="31"/>
      <c r="I205" s="31"/>
      <c r="J205" s="31"/>
      <c r="K205" s="31"/>
      <c r="L205" s="31">
        <f t="shared" si="21"/>
        <v>0</v>
      </c>
      <c r="M205" s="31"/>
      <c r="N205" s="31"/>
      <c r="O205" s="31"/>
      <c r="P205" s="32">
        <v>4706.8846800000001</v>
      </c>
      <c r="Q205" s="31"/>
      <c r="R205" s="31">
        <v>1086.83</v>
      </c>
      <c r="S205" s="31"/>
      <c r="T205" s="32">
        <f t="shared" si="18"/>
        <v>5793.71468</v>
      </c>
      <c r="U205" s="32">
        <v>13553.681799999998</v>
      </c>
      <c r="V205" s="84"/>
      <c r="W205" s="71" t="s">
        <v>467</v>
      </c>
      <c r="X205" s="31"/>
      <c r="Y205" s="31"/>
      <c r="Z205" s="31"/>
      <c r="AA205" s="31"/>
      <c r="AB205" s="31"/>
    </row>
    <row r="206" spans="1:28" ht="189">
      <c r="A206" s="167"/>
      <c r="B206" s="151"/>
      <c r="C206" s="151"/>
      <c r="D206" s="95">
        <v>197</v>
      </c>
      <c r="E206" s="30" t="s">
        <v>144</v>
      </c>
      <c r="F206" s="31"/>
      <c r="G206" s="31"/>
      <c r="H206" s="31"/>
      <c r="I206" s="31"/>
      <c r="J206" s="31"/>
      <c r="K206" s="31"/>
      <c r="L206" s="31">
        <f t="shared" si="21"/>
        <v>0</v>
      </c>
      <c r="M206" s="31"/>
      <c r="N206" s="31">
        <v>26.8</v>
      </c>
      <c r="O206" s="31"/>
      <c r="P206" s="31">
        <f>17.57+132.73</f>
        <v>150.29999999999998</v>
      </c>
      <c r="Q206" s="31"/>
      <c r="R206" s="31"/>
      <c r="S206" s="31">
        <v>19.760000000000002</v>
      </c>
      <c r="T206" s="32">
        <f t="shared" si="18"/>
        <v>196.85999999999999</v>
      </c>
      <c r="U206" s="32">
        <f>196.86+146</f>
        <v>342.86</v>
      </c>
      <c r="V206" s="84"/>
      <c r="W206" s="71" t="s">
        <v>376</v>
      </c>
      <c r="X206" s="31"/>
      <c r="Y206" s="31"/>
      <c r="Z206" s="31"/>
      <c r="AA206" s="31"/>
      <c r="AB206" s="31"/>
    </row>
    <row r="207" spans="1:28" ht="299.25">
      <c r="A207" s="167"/>
      <c r="B207" s="151"/>
      <c r="C207" s="151"/>
      <c r="D207" s="95">
        <v>198</v>
      </c>
      <c r="E207" s="112" t="s">
        <v>145</v>
      </c>
      <c r="F207" s="31"/>
      <c r="G207" s="31"/>
      <c r="H207" s="31"/>
      <c r="I207" s="31"/>
      <c r="J207" s="31"/>
      <c r="K207" s="31"/>
      <c r="L207" s="31">
        <f t="shared" si="21"/>
        <v>0</v>
      </c>
      <c r="M207" s="31"/>
      <c r="N207" s="31"/>
      <c r="O207" s="31"/>
      <c r="P207" s="31">
        <v>1952.66</v>
      </c>
      <c r="Q207" s="31"/>
      <c r="R207" s="31"/>
      <c r="S207" s="31"/>
      <c r="T207" s="32">
        <f t="shared" si="18"/>
        <v>1952.66</v>
      </c>
      <c r="U207" s="31">
        <v>1952.66</v>
      </c>
      <c r="V207" s="84"/>
      <c r="W207" s="71" t="s">
        <v>468</v>
      </c>
      <c r="X207" s="31"/>
      <c r="Y207" s="31"/>
      <c r="Z207" s="31"/>
      <c r="AA207" s="31"/>
      <c r="AB207" s="31"/>
    </row>
    <row r="208" spans="1:28" ht="126">
      <c r="A208" s="167"/>
      <c r="B208" s="43" t="s">
        <v>141</v>
      </c>
      <c r="C208" s="43" t="s">
        <v>106</v>
      </c>
      <c r="D208" s="95">
        <v>199</v>
      </c>
      <c r="E208" s="30" t="s">
        <v>107</v>
      </c>
      <c r="F208" s="31"/>
      <c r="G208" s="31"/>
      <c r="H208" s="31"/>
      <c r="I208" s="31"/>
      <c r="J208" s="31"/>
      <c r="K208" s="31"/>
      <c r="L208" s="31">
        <f t="shared" si="21"/>
        <v>0</v>
      </c>
      <c r="M208" s="31"/>
      <c r="N208" s="31"/>
      <c r="O208" s="31"/>
      <c r="P208" s="32">
        <v>10224</v>
      </c>
      <c r="Q208" s="31"/>
      <c r="R208" s="31"/>
      <c r="S208" s="31"/>
      <c r="T208" s="32">
        <f t="shared" si="18"/>
        <v>10224</v>
      </c>
      <c r="U208" s="32">
        <v>9926.4</v>
      </c>
      <c r="V208" s="84"/>
      <c r="W208" s="71" t="s">
        <v>426</v>
      </c>
      <c r="X208" s="31"/>
      <c r="Y208" s="31"/>
      <c r="Z208" s="31"/>
      <c r="AA208" s="31"/>
      <c r="AB208" s="31"/>
    </row>
    <row r="209" spans="1:28" ht="409.5">
      <c r="A209" s="167"/>
      <c r="B209" s="43" t="s">
        <v>142</v>
      </c>
      <c r="C209" s="49" t="s">
        <v>152</v>
      </c>
      <c r="D209" s="95">
        <v>199</v>
      </c>
      <c r="E209" s="30" t="s">
        <v>240</v>
      </c>
      <c r="F209" s="57"/>
      <c r="G209" s="57"/>
      <c r="H209" s="57"/>
      <c r="I209" s="57"/>
      <c r="J209" s="57"/>
      <c r="K209" s="57"/>
      <c r="L209" s="57"/>
      <c r="M209" s="57"/>
      <c r="N209" s="57"/>
      <c r="O209" s="57"/>
      <c r="P209" s="57"/>
      <c r="Q209" s="57"/>
      <c r="R209" s="57"/>
      <c r="S209" s="57"/>
      <c r="T209" s="32">
        <f>300+6345+761.05</f>
        <v>7406.05</v>
      </c>
      <c r="U209" s="32">
        <f>750+6345+1141.5</f>
        <v>8236.5</v>
      </c>
      <c r="V209" s="96" t="s">
        <v>434</v>
      </c>
      <c r="W209" s="79" t="s">
        <v>469</v>
      </c>
      <c r="X209" s="61"/>
      <c r="Y209" s="61"/>
      <c r="Z209" s="61"/>
      <c r="AA209" s="61"/>
      <c r="AB209" s="61"/>
    </row>
    <row r="210" spans="1:28" s="50" customFormat="1">
      <c r="A210" s="167"/>
      <c r="B210" s="157" t="s">
        <v>281</v>
      </c>
      <c r="C210" s="158"/>
      <c r="D210" s="159"/>
      <c r="E210" s="45"/>
      <c r="F210" s="62">
        <f t="shared" ref="F210:U210" si="22">SUM(F159:F209)</f>
        <v>0</v>
      </c>
      <c r="G210" s="62">
        <f t="shared" si="22"/>
        <v>139214.40000000002</v>
      </c>
      <c r="H210" s="62">
        <f t="shared" ref="H210" si="23">SUM(H159:H209)</f>
        <v>32014.5</v>
      </c>
      <c r="I210" s="62">
        <f t="shared" si="22"/>
        <v>1860.33</v>
      </c>
      <c r="J210" s="62">
        <f t="shared" si="22"/>
        <v>0</v>
      </c>
      <c r="K210" s="62">
        <f t="shared" si="22"/>
        <v>20225</v>
      </c>
      <c r="L210" s="62">
        <f t="shared" si="22"/>
        <v>20225</v>
      </c>
      <c r="M210" s="62">
        <f t="shared" si="22"/>
        <v>17209.115000000002</v>
      </c>
      <c r="N210" s="62">
        <f t="shared" si="22"/>
        <v>6751.2200000000012</v>
      </c>
      <c r="O210" s="62">
        <f t="shared" si="22"/>
        <v>21600</v>
      </c>
      <c r="P210" s="62">
        <f t="shared" si="22"/>
        <v>81219.988680000009</v>
      </c>
      <c r="Q210" s="62">
        <f t="shared" si="22"/>
        <v>3669.53</v>
      </c>
      <c r="R210" s="62">
        <f t="shared" si="22"/>
        <v>6507.3940000000002</v>
      </c>
      <c r="S210" s="62">
        <f t="shared" si="22"/>
        <v>19.760000000000002</v>
      </c>
      <c r="T210" s="63">
        <f t="shared" si="22"/>
        <v>459938.86767999997</v>
      </c>
      <c r="U210" s="63">
        <f t="shared" si="22"/>
        <v>387942.32870000001</v>
      </c>
      <c r="V210" s="62"/>
      <c r="W210" s="78"/>
      <c r="X210" s="62">
        <f>SUM(X159:X209)</f>
        <v>0</v>
      </c>
      <c r="Y210" s="62">
        <f>SUM(Y159:Y209)</f>
        <v>0</v>
      </c>
      <c r="Z210" s="62">
        <f>SUM(Z159:Z209)</f>
        <v>0</v>
      </c>
      <c r="AA210" s="62">
        <f>SUM(AA159:AA209)</f>
        <v>0</v>
      </c>
      <c r="AB210" s="62"/>
    </row>
    <row r="211" spans="1:28" ht="25.5" customHeight="1">
      <c r="A211" s="161" t="s">
        <v>282</v>
      </c>
      <c r="B211" s="162"/>
      <c r="C211" s="162"/>
      <c r="D211" s="163"/>
      <c r="E211" s="64"/>
      <c r="F211" s="65">
        <f>F210+F158+F134+F93+F68</f>
        <v>47688.569999999992</v>
      </c>
      <c r="G211" s="65">
        <f>G210+G158+G134+G93+G68</f>
        <v>162691.37000000002</v>
      </c>
      <c r="H211" s="65">
        <f>H210+H158+H134+H93+H68</f>
        <v>32666.23</v>
      </c>
      <c r="I211" s="65">
        <f t="shared" ref="I211:U211" si="24">I210+I158+I134+I93+I68</f>
        <v>9284.6849999999995</v>
      </c>
      <c r="J211" s="65">
        <f t="shared" si="24"/>
        <v>118.74</v>
      </c>
      <c r="K211" s="65">
        <f t="shared" si="24"/>
        <v>37041.212038176003</v>
      </c>
      <c r="L211" s="65">
        <f t="shared" si="24"/>
        <v>37159.952038175994</v>
      </c>
      <c r="M211" s="65">
        <f t="shared" si="24"/>
        <v>26386.474000000006</v>
      </c>
      <c r="N211" s="65">
        <f t="shared" si="24"/>
        <v>13549.334699992</v>
      </c>
      <c r="O211" s="65">
        <f t="shared" si="24"/>
        <v>58169.883125</v>
      </c>
      <c r="P211" s="65">
        <f t="shared" si="24"/>
        <v>139106.60025500003</v>
      </c>
      <c r="Q211" s="65">
        <f t="shared" si="24"/>
        <v>10712.385780000001</v>
      </c>
      <c r="R211" s="65">
        <f t="shared" si="24"/>
        <v>8592.2139999999999</v>
      </c>
      <c r="S211" s="65">
        <f t="shared" si="24"/>
        <v>714.82008000000008</v>
      </c>
      <c r="T211" s="66">
        <f t="shared" si="24"/>
        <v>686240.16897816793</v>
      </c>
      <c r="U211" s="66">
        <f t="shared" si="24"/>
        <v>617465.28584843979</v>
      </c>
      <c r="V211" s="65"/>
      <c r="W211" s="80"/>
      <c r="X211" s="65">
        <f>X210+X158+X134+X93+X68</f>
        <v>0</v>
      </c>
      <c r="Y211" s="65">
        <f>Y210+Y158+Y134+Y93+Y68</f>
        <v>0</v>
      </c>
      <c r="Z211" s="65">
        <f>Z210+Z158+Z134+Z93+Z68</f>
        <v>0</v>
      </c>
      <c r="AA211" s="65">
        <f>AA210+AA158+AA134+AA93+AA68</f>
        <v>0</v>
      </c>
      <c r="AB211" s="64"/>
    </row>
    <row r="212" spans="1:28">
      <c r="A212" s="67"/>
      <c r="B212" s="67"/>
      <c r="C212" s="68"/>
      <c r="F212" s="69"/>
      <c r="G212" s="69"/>
      <c r="H212" s="69"/>
      <c r="I212" s="69"/>
      <c r="J212" s="69"/>
      <c r="K212" s="69"/>
      <c r="L212" s="69"/>
      <c r="M212" s="69"/>
      <c r="N212" s="69"/>
      <c r="O212" s="69"/>
      <c r="P212" s="69"/>
      <c r="Q212" s="69"/>
      <c r="R212" s="69"/>
      <c r="S212" s="69"/>
      <c r="T212" s="69"/>
      <c r="U212" s="69"/>
      <c r="V212" s="69"/>
      <c r="W212" s="81"/>
      <c r="X212" s="69"/>
      <c r="Y212" s="69"/>
      <c r="Z212" s="69"/>
      <c r="AA212" s="69"/>
      <c r="AB212" s="69"/>
    </row>
    <row r="213" spans="1:28">
      <c r="A213" s="67"/>
      <c r="B213" s="67"/>
      <c r="C213" s="68"/>
      <c r="F213" s="69"/>
      <c r="G213" s="69"/>
      <c r="H213" s="69"/>
      <c r="I213" s="69"/>
      <c r="J213" s="69"/>
      <c r="K213" s="69"/>
      <c r="L213" s="69"/>
      <c r="M213" s="69"/>
      <c r="N213" s="69"/>
      <c r="O213" s="69"/>
      <c r="P213" s="69"/>
      <c r="Q213" s="69"/>
      <c r="R213" s="69"/>
      <c r="S213" s="69"/>
      <c r="T213" s="70"/>
      <c r="U213" s="69"/>
      <c r="V213" s="69"/>
      <c r="W213" s="81"/>
      <c r="X213" s="69"/>
      <c r="Y213" s="69"/>
      <c r="Z213" s="69"/>
      <c r="AA213" s="69"/>
      <c r="AB213" s="69"/>
    </row>
    <row r="214" spans="1:28">
      <c r="A214" s="67"/>
      <c r="B214" s="67"/>
      <c r="C214" s="68"/>
      <c r="F214" s="69"/>
      <c r="G214" s="69"/>
      <c r="H214" s="69"/>
      <c r="I214" s="69"/>
      <c r="J214" s="69"/>
      <c r="K214" s="69"/>
      <c r="L214" s="69"/>
      <c r="M214" s="69"/>
      <c r="N214" s="69"/>
      <c r="O214" s="69"/>
      <c r="P214" s="69"/>
      <c r="Q214" s="69"/>
      <c r="R214" s="69"/>
      <c r="S214" s="69"/>
      <c r="T214" s="69"/>
      <c r="U214" s="69"/>
      <c r="V214" s="69"/>
      <c r="W214" s="81"/>
      <c r="X214" s="69"/>
      <c r="Y214" s="69"/>
      <c r="Z214" s="69"/>
      <c r="AA214" s="69"/>
      <c r="AB214" s="69"/>
    </row>
    <row r="215" spans="1:28">
      <c r="A215" s="67"/>
      <c r="B215" s="67"/>
      <c r="C215" s="68"/>
      <c r="F215" s="69"/>
      <c r="G215" s="69"/>
      <c r="H215" s="69"/>
      <c r="I215" s="69"/>
      <c r="J215" s="69"/>
      <c r="K215" s="69"/>
      <c r="L215" s="69"/>
      <c r="M215" s="69"/>
      <c r="N215" s="69"/>
      <c r="O215" s="69"/>
      <c r="P215" s="69"/>
      <c r="Q215" s="69"/>
      <c r="R215" s="69"/>
      <c r="S215" s="69"/>
      <c r="T215" s="69"/>
      <c r="U215" s="69"/>
      <c r="V215" s="69"/>
      <c r="W215" s="81"/>
      <c r="X215" s="69"/>
      <c r="Y215" s="69"/>
      <c r="Z215" s="69"/>
      <c r="AA215" s="69"/>
      <c r="AB215" s="69"/>
    </row>
    <row r="216" spans="1:28">
      <c r="A216" s="67"/>
      <c r="B216" s="67"/>
      <c r="C216" s="68"/>
      <c r="F216" s="69"/>
      <c r="G216" s="69"/>
      <c r="H216" s="69"/>
      <c r="I216" s="69"/>
      <c r="J216" s="69"/>
      <c r="K216" s="69"/>
      <c r="L216" s="69"/>
      <c r="M216" s="69"/>
      <c r="N216" s="69"/>
      <c r="O216" s="69"/>
      <c r="P216" s="69"/>
      <c r="Q216" s="69"/>
      <c r="R216" s="69"/>
      <c r="S216" s="69"/>
      <c r="T216" s="69"/>
      <c r="U216" s="69"/>
      <c r="V216" s="69"/>
      <c r="W216" s="81"/>
      <c r="X216" s="69"/>
      <c r="Y216" s="69"/>
      <c r="Z216" s="69"/>
      <c r="AA216" s="69"/>
      <c r="AB216" s="69"/>
    </row>
    <row r="217" spans="1:28">
      <c r="A217" s="67"/>
      <c r="B217" s="67"/>
      <c r="C217" s="68"/>
      <c r="F217" s="69"/>
      <c r="G217" s="69"/>
      <c r="H217" s="69"/>
      <c r="I217" s="69"/>
      <c r="J217" s="69"/>
      <c r="K217" s="69"/>
      <c r="L217" s="69"/>
      <c r="M217" s="69"/>
      <c r="N217" s="69"/>
      <c r="O217" s="69"/>
      <c r="P217" s="69"/>
      <c r="Q217" s="69"/>
      <c r="R217" s="69"/>
      <c r="S217" s="69"/>
      <c r="T217" s="69"/>
      <c r="U217" s="69"/>
      <c r="V217" s="69"/>
      <c r="W217" s="81"/>
      <c r="X217" s="69"/>
      <c r="Y217" s="69"/>
      <c r="Z217" s="69"/>
      <c r="AA217" s="69"/>
      <c r="AB217" s="69"/>
    </row>
    <row r="218" spans="1:28">
      <c r="A218" s="67"/>
      <c r="B218" s="67"/>
      <c r="C218" s="68"/>
      <c r="F218" s="69"/>
      <c r="G218" s="69"/>
      <c r="H218" s="69"/>
      <c r="I218" s="69"/>
      <c r="J218" s="69"/>
      <c r="K218" s="69"/>
      <c r="L218" s="69"/>
      <c r="M218" s="69"/>
      <c r="N218" s="69"/>
      <c r="O218" s="69"/>
      <c r="P218" s="69"/>
      <c r="Q218" s="69"/>
      <c r="R218" s="69"/>
      <c r="S218" s="69"/>
      <c r="T218" s="69"/>
      <c r="U218" s="69"/>
      <c r="V218" s="69"/>
      <c r="W218" s="81"/>
      <c r="X218" s="69"/>
      <c r="Y218" s="69"/>
      <c r="Z218" s="69"/>
      <c r="AA218" s="69"/>
      <c r="AB218" s="69"/>
    </row>
    <row r="219" spans="1:28">
      <c r="A219" s="67"/>
      <c r="B219" s="67"/>
      <c r="C219" s="68"/>
      <c r="F219" s="69"/>
      <c r="G219" s="69"/>
      <c r="H219" s="69"/>
      <c r="I219" s="69"/>
      <c r="J219" s="69"/>
      <c r="K219" s="69"/>
      <c r="L219" s="69"/>
      <c r="M219" s="69"/>
      <c r="N219" s="69"/>
      <c r="O219" s="69"/>
      <c r="P219" s="69"/>
      <c r="Q219" s="69"/>
      <c r="R219" s="69"/>
      <c r="S219" s="69"/>
      <c r="T219" s="69"/>
      <c r="U219" s="69"/>
      <c r="V219" s="69"/>
      <c r="W219" s="81"/>
      <c r="X219" s="69"/>
      <c r="Y219" s="69"/>
      <c r="Z219" s="69"/>
      <c r="AA219" s="69"/>
      <c r="AB219" s="69"/>
    </row>
    <row r="220" spans="1:28">
      <c r="A220" s="67"/>
      <c r="B220" s="67"/>
      <c r="C220" s="68"/>
      <c r="F220" s="69"/>
      <c r="G220" s="69"/>
      <c r="H220" s="69"/>
      <c r="I220" s="69"/>
      <c r="J220" s="69"/>
      <c r="K220" s="69"/>
      <c r="L220" s="69"/>
      <c r="M220" s="69"/>
      <c r="N220" s="69"/>
      <c r="O220" s="69"/>
      <c r="P220" s="69"/>
      <c r="Q220" s="69"/>
      <c r="R220" s="69"/>
      <c r="S220" s="69"/>
      <c r="T220" s="69"/>
      <c r="U220" s="69"/>
      <c r="V220" s="69"/>
      <c r="W220" s="81"/>
      <c r="X220" s="69"/>
      <c r="Y220" s="69"/>
      <c r="Z220" s="69"/>
      <c r="AA220" s="69"/>
      <c r="AB220" s="69"/>
    </row>
    <row r="221" spans="1:28">
      <c r="A221" s="67"/>
      <c r="B221" s="67"/>
      <c r="C221" s="68"/>
      <c r="F221" s="69"/>
      <c r="G221" s="69"/>
      <c r="H221" s="69"/>
      <c r="I221" s="69"/>
      <c r="J221" s="69"/>
      <c r="K221" s="69"/>
      <c r="L221" s="69"/>
      <c r="M221" s="69"/>
      <c r="N221" s="69"/>
      <c r="O221" s="69"/>
      <c r="P221" s="69"/>
      <c r="Q221" s="69"/>
      <c r="R221" s="69"/>
      <c r="S221" s="69"/>
      <c r="T221" s="69"/>
      <c r="U221" s="69"/>
      <c r="V221" s="69"/>
      <c r="W221" s="81"/>
      <c r="X221" s="69"/>
      <c r="Y221" s="69"/>
      <c r="Z221" s="69"/>
      <c r="AA221" s="69"/>
      <c r="AB221" s="69"/>
    </row>
    <row r="222" spans="1:28">
      <c r="A222" s="67"/>
      <c r="B222" s="67"/>
      <c r="C222" s="68"/>
      <c r="F222" s="69"/>
      <c r="G222" s="69"/>
      <c r="H222" s="69"/>
      <c r="I222" s="69"/>
      <c r="J222" s="69"/>
      <c r="K222" s="69"/>
      <c r="L222" s="69"/>
      <c r="M222" s="69"/>
      <c r="N222" s="69"/>
      <c r="O222" s="69"/>
      <c r="P222" s="69"/>
      <c r="Q222" s="69"/>
      <c r="R222" s="69"/>
      <c r="S222" s="69"/>
      <c r="T222" s="69"/>
      <c r="U222" s="69"/>
      <c r="V222" s="69"/>
      <c r="W222" s="81"/>
      <c r="X222" s="69"/>
      <c r="Y222" s="69"/>
      <c r="Z222" s="69"/>
      <c r="AA222" s="69"/>
      <c r="AB222" s="69"/>
    </row>
    <row r="223" spans="1:28">
      <c r="A223" s="67"/>
      <c r="B223" s="67"/>
      <c r="C223" s="68"/>
      <c r="F223" s="69"/>
      <c r="G223" s="69"/>
      <c r="H223" s="69"/>
      <c r="I223" s="69"/>
      <c r="J223" s="69"/>
      <c r="K223" s="69"/>
      <c r="L223" s="69"/>
      <c r="M223" s="69"/>
      <c r="N223" s="69"/>
      <c r="O223" s="69"/>
      <c r="P223" s="69"/>
      <c r="Q223" s="69"/>
      <c r="R223" s="69"/>
      <c r="S223" s="69"/>
      <c r="T223" s="69"/>
      <c r="U223" s="69"/>
      <c r="V223" s="69"/>
      <c r="W223" s="81"/>
      <c r="X223" s="69"/>
      <c r="Y223" s="69"/>
      <c r="Z223" s="69"/>
      <c r="AA223" s="69"/>
      <c r="AB223" s="69"/>
    </row>
    <row r="224" spans="1:28">
      <c r="A224" s="67"/>
      <c r="B224" s="67"/>
      <c r="C224" s="68"/>
      <c r="F224" s="69"/>
      <c r="G224" s="69"/>
      <c r="H224" s="69"/>
      <c r="I224" s="69"/>
      <c r="J224" s="69"/>
      <c r="K224" s="69"/>
      <c r="L224" s="69"/>
      <c r="M224" s="69"/>
      <c r="N224" s="69"/>
      <c r="O224" s="69"/>
      <c r="P224" s="69"/>
      <c r="Q224" s="69"/>
      <c r="R224" s="69"/>
      <c r="S224" s="69"/>
      <c r="T224" s="69"/>
      <c r="U224" s="69"/>
      <c r="V224" s="69"/>
      <c r="W224" s="81"/>
      <c r="X224" s="69"/>
      <c r="Y224" s="69"/>
      <c r="Z224" s="69"/>
      <c r="AA224" s="69"/>
      <c r="AB224" s="69"/>
    </row>
    <row r="225" spans="1:28">
      <c r="A225" s="67"/>
      <c r="B225" s="67"/>
      <c r="C225" s="68"/>
      <c r="F225" s="69"/>
      <c r="G225" s="69"/>
      <c r="H225" s="69"/>
      <c r="I225" s="69"/>
      <c r="J225" s="69"/>
      <c r="K225" s="69"/>
      <c r="L225" s="69"/>
      <c r="M225" s="69"/>
      <c r="N225" s="69"/>
      <c r="O225" s="69"/>
      <c r="P225" s="69"/>
      <c r="Q225" s="69"/>
      <c r="R225" s="69"/>
      <c r="S225" s="69"/>
      <c r="T225" s="69"/>
      <c r="U225" s="69"/>
      <c r="V225" s="69"/>
      <c r="W225" s="81"/>
      <c r="X225" s="69"/>
      <c r="Y225" s="69"/>
      <c r="Z225" s="69"/>
      <c r="AA225" s="69"/>
      <c r="AB225" s="69"/>
    </row>
    <row r="226" spans="1:28">
      <c r="A226" s="67"/>
      <c r="B226" s="67"/>
      <c r="C226" s="68"/>
      <c r="F226" s="69"/>
      <c r="G226" s="69"/>
      <c r="H226" s="69"/>
      <c r="I226" s="69"/>
      <c r="J226" s="69"/>
      <c r="K226" s="69"/>
      <c r="L226" s="69"/>
      <c r="M226" s="69"/>
      <c r="N226" s="69"/>
      <c r="O226" s="69"/>
      <c r="P226" s="69"/>
      <c r="Q226" s="69"/>
      <c r="R226" s="69"/>
      <c r="S226" s="69"/>
      <c r="T226" s="69"/>
      <c r="U226" s="69"/>
      <c r="V226" s="69"/>
      <c r="W226" s="81"/>
      <c r="X226" s="69"/>
      <c r="Y226" s="69"/>
      <c r="Z226" s="69"/>
      <c r="AA226" s="69"/>
      <c r="AB226" s="69"/>
    </row>
    <row r="227" spans="1:28">
      <c r="A227" s="67"/>
      <c r="B227" s="67"/>
      <c r="C227" s="68"/>
      <c r="F227" s="69"/>
      <c r="G227" s="69"/>
      <c r="H227" s="69"/>
      <c r="I227" s="69"/>
      <c r="J227" s="69"/>
      <c r="K227" s="69"/>
      <c r="L227" s="69"/>
      <c r="M227" s="69"/>
      <c r="N227" s="69"/>
      <c r="O227" s="69"/>
      <c r="P227" s="69"/>
      <c r="Q227" s="69"/>
      <c r="R227" s="69"/>
      <c r="S227" s="69"/>
      <c r="T227" s="69"/>
      <c r="U227" s="69"/>
      <c r="V227" s="69"/>
      <c r="W227" s="81"/>
      <c r="X227" s="69"/>
      <c r="Y227" s="69"/>
      <c r="Z227" s="69"/>
      <c r="AA227" s="69"/>
      <c r="AB227" s="69"/>
    </row>
    <row r="228" spans="1:28">
      <c r="A228" s="67"/>
      <c r="B228" s="67"/>
      <c r="C228" s="68"/>
      <c r="F228" s="69"/>
      <c r="G228" s="69"/>
      <c r="H228" s="69"/>
      <c r="I228" s="69"/>
      <c r="J228" s="69"/>
      <c r="K228" s="69"/>
      <c r="L228" s="69"/>
      <c r="M228" s="69"/>
      <c r="N228" s="69"/>
      <c r="O228" s="69"/>
      <c r="P228" s="69"/>
      <c r="Q228" s="69"/>
      <c r="R228" s="69"/>
      <c r="S228" s="69"/>
      <c r="T228" s="69"/>
      <c r="U228" s="69"/>
      <c r="V228" s="69"/>
      <c r="W228" s="81"/>
      <c r="X228" s="69"/>
      <c r="Y228" s="69"/>
      <c r="Z228" s="69"/>
      <c r="AA228" s="69"/>
      <c r="AB228" s="69"/>
    </row>
    <row r="229" spans="1:28">
      <c r="A229" s="67"/>
      <c r="B229" s="67"/>
      <c r="C229" s="68"/>
      <c r="F229" s="69"/>
      <c r="G229" s="69"/>
      <c r="H229" s="69"/>
      <c r="I229" s="69"/>
      <c r="J229" s="69"/>
      <c r="K229" s="69"/>
      <c r="L229" s="69"/>
      <c r="M229" s="69"/>
      <c r="N229" s="69"/>
      <c r="O229" s="69"/>
      <c r="P229" s="69"/>
      <c r="Q229" s="69"/>
      <c r="R229" s="69"/>
      <c r="S229" s="69"/>
      <c r="T229" s="69"/>
      <c r="U229" s="69"/>
      <c r="V229" s="69"/>
      <c r="W229" s="81"/>
      <c r="X229" s="69"/>
      <c r="Y229" s="69"/>
      <c r="Z229" s="69"/>
      <c r="AA229" s="69"/>
      <c r="AB229" s="69"/>
    </row>
    <row r="230" spans="1:28">
      <c r="A230" s="67"/>
      <c r="B230" s="67"/>
      <c r="C230" s="68"/>
      <c r="F230" s="69"/>
      <c r="G230" s="69"/>
      <c r="H230" s="69"/>
      <c r="I230" s="69"/>
      <c r="J230" s="69"/>
      <c r="K230" s="69"/>
      <c r="L230" s="69"/>
      <c r="M230" s="69"/>
      <c r="N230" s="69"/>
      <c r="O230" s="69"/>
      <c r="P230" s="69"/>
      <c r="Q230" s="69"/>
      <c r="R230" s="69"/>
      <c r="S230" s="69"/>
      <c r="T230" s="69"/>
      <c r="U230" s="69"/>
      <c r="V230" s="69"/>
      <c r="W230" s="81"/>
      <c r="X230" s="69"/>
      <c r="Y230" s="69"/>
      <c r="Z230" s="69"/>
      <c r="AA230" s="69"/>
      <c r="AB230" s="69"/>
    </row>
    <row r="231" spans="1:28">
      <c r="A231" s="67"/>
      <c r="B231" s="67"/>
      <c r="C231" s="68"/>
      <c r="F231" s="69"/>
      <c r="G231" s="69"/>
      <c r="H231" s="69"/>
      <c r="I231" s="69"/>
      <c r="J231" s="69"/>
      <c r="K231" s="69"/>
      <c r="L231" s="69"/>
      <c r="M231" s="69"/>
      <c r="N231" s="69"/>
      <c r="O231" s="69"/>
      <c r="P231" s="69"/>
      <c r="Q231" s="69"/>
      <c r="R231" s="69"/>
      <c r="S231" s="69"/>
      <c r="T231" s="69"/>
      <c r="U231" s="69"/>
      <c r="V231" s="69"/>
      <c r="W231" s="81"/>
      <c r="X231" s="69"/>
      <c r="Y231" s="69"/>
      <c r="Z231" s="69"/>
      <c r="AA231" s="69"/>
      <c r="AB231" s="69"/>
    </row>
    <row r="232" spans="1:28">
      <c r="A232" s="67"/>
      <c r="B232" s="67"/>
      <c r="C232" s="68"/>
      <c r="F232" s="69"/>
      <c r="G232" s="69"/>
      <c r="H232" s="69"/>
      <c r="I232" s="69"/>
      <c r="J232" s="69"/>
      <c r="K232" s="69"/>
      <c r="L232" s="69"/>
      <c r="M232" s="69"/>
      <c r="N232" s="69"/>
      <c r="O232" s="69"/>
      <c r="P232" s="69"/>
      <c r="Q232" s="69"/>
      <c r="R232" s="69"/>
      <c r="S232" s="69"/>
      <c r="T232" s="69"/>
      <c r="U232" s="69"/>
      <c r="V232" s="69"/>
      <c r="W232" s="81"/>
      <c r="X232" s="69"/>
      <c r="Y232" s="69"/>
      <c r="Z232" s="69"/>
      <c r="AA232" s="69"/>
      <c r="AB232" s="69"/>
    </row>
    <row r="233" spans="1:28">
      <c r="A233" s="67"/>
      <c r="B233" s="67"/>
      <c r="C233" s="68"/>
      <c r="F233" s="69"/>
      <c r="G233" s="69"/>
      <c r="H233" s="69"/>
      <c r="I233" s="69"/>
      <c r="J233" s="69"/>
      <c r="K233" s="69"/>
      <c r="L233" s="69"/>
      <c r="M233" s="69"/>
      <c r="N233" s="69"/>
      <c r="O233" s="69"/>
      <c r="P233" s="69"/>
      <c r="Q233" s="69"/>
      <c r="R233" s="69"/>
      <c r="S233" s="69"/>
      <c r="T233" s="69"/>
      <c r="U233" s="69"/>
      <c r="V233" s="69"/>
      <c r="W233" s="81"/>
      <c r="X233" s="69"/>
      <c r="Y233" s="69"/>
      <c r="Z233" s="69"/>
      <c r="AA233" s="69"/>
      <c r="AB233" s="69"/>
    </row>
    <row r="234" spans="1:28">
      <c r="A234" s="67"/>
      <c r="B234" s="67"/>
      <c r="C234" s="68"/>
      <c r="F234" s="69"/>
      <c r="G234" s="69"/>
      <c r="H234" s="69"/>
      <c r="I234" s="69"/>
      <c r="J234" s="69"/>
      <c r="K234" s="69"/>
      <c r="L234" s="69"/>
      <c r="M234" s="69"/>
      <c r="N234" s="69"/>
      <c r="O234" s="69"/>
      <c r="P234" s="69"/>
      <c r="Q234" s="69"/>
      <c r="R234" s="69"/>
      <c r="S234" s="69"/>
      <c r="T234" s="69"/>
      <c r="U234" s="69"/>
      <c r="V234" s="69"/>
      <c r="W234" s="81"/>
      <c r="X234" s="69"/>
      <c r="Y234" s="69"/>
      <c r="Z234" s="69"/>
      <c r="AA234" s="69"/>
      <c r="AB234" s="69"/>
    </row>
    <row r="235" spans="1:28">
      <c r="A235" s="67"/>
      <c r="B235" s="67"/>
      <c r="C235" s="68"/>
      <c r="F235" s="69"/>
      <c r="G235" s="69"/>
      <c r="H235" s="69"/>
      <c r="I235" s="69"/>
      <c r="J235" s="69"/>
      <c r="K235" s="69"/>
      <c r="L235" s="69"/>
      <c r="M235" s="69"/>
      <c r="N235" s="69"/>
      <c r="O235" s="69"/>
      <c r="P235" s="69"/>
      <c r="Q235" s="69"/>
      <c r="R235" s="69"/>
      <c r="S235" s="69"/>
      <c r="T235" s="69"/>
      <c r="U235" s="69"/>
      <c r="V235" s="69"/>
      <c r="W235" s="81"/>
      <c r="X235" s="69"/>
      <c r="Y235" s="69"/>
      <c r="Z235" s="69"/>
      <c r="AA235" s="69"/>
      <c r="AB235" s="69"/>
    </row>
    <row r="236" spans="1:28">
      <c r="A236" s="67"/>
      <c r="B236" s="67"/>
      <c r="C236" s="68"/>
      <c r="F236" s="69"/>
      <c r="G236" s="69"/>
      <c r="H236" s="69"/>
      <c r="I236" s="69"/>
      <c r="J236" s="69"/>
      <c r="K236" s="69"/>
      <c r="L236" s="69"/>
      <c r="M236" s="69"/>
      <c r="N236" s="69"/>
      <c r="O236" s="69"/>
      <c r="P236" s="69"/>
      <c r="Q236" s="69"/>
      <c r="R236" s="69"/>
      <c r="S236" s="69"/>
      <c r="T236" s="69"/>
      <c r="U236" s="69"/>
      <c r="V236" s="69"/>
      <c r="W236" s="81"/>
      <c r="X236" s="69"/>
      <c r="Y236" s="69"/>
      <c r="Z236" s="69"/>
      <c r="AA236" s="69"/>
      <c r="AB236" s="69"/>
    </row>
    <row r="237" spans="1:28">
      <c r="A237" s="67"/>
      <c r="B237" s="67"/>
      <c r="C237" s="68"/>
      <c r="F237" s="69"/>
      <c r="G237" s="69"/>
      <c r="H237" s="69"/>
      <c r="I237" s="69"/>
      <c r="J237" s="69"/>
      <c r="K237" s="69"/>
      <c r="L237" s="69"/>
      <c r="M237" s="69"/>
      <c r="N237" s="69"/>
      <c r="O237" s="69"/>
      <c r="P237" s="69"/>
      <c r="Q237" s="69"/>
      <c r="R237" s="69"/>
      <c r="S237" s="69"/>
      <c r="T237" s="69"/>
      <c r="U237" s="69"/>
      <c r="V237" s="69"/>
      <c r="W237" s="81"/>
      <c r="X237" s="69"/>
      <c r="Y237" s="69"/>
      <c r="Z237" s="69"/>
      <c r="AA237" s="69"/>
      <c r="AB237" s="69"/>
    </row>
    <row r="238" spans="1:28">
      <c r="A238" s="67"/>
      <c r="B238" s="67"/>
      <c r="C238" s="68"/>
      <c r="F238" s="69"/>
      <c r="G238" s="69"/>
      <c r="H238" s="69"/>
      <c r="I238" s="69"/>
      <c r="J238" s="69"/>
      <c r="K238" s="69"/>
      <c r="L238" s="69"/>
      <c r="M238" s="69"/>
      <c r="N238" s="69"/>
      <c r="O238" s="69"/>
      <c r="P238" s="69"/>
      <c r="Q238" s="69"/>
      <c r="R238" s="69"/>
      <c r="S238" s="69"/>
      <c r="T238" s="69"/>
      <c r="U238" s="69"/>
      <c r="V238" s="69"/>
      <c r="W238" s="81"/>
      <c r="X238" s="69"/>
      <c r="Y238" s="69"/>
      <c r="Z238" s="69"/>
      <c r="AA238" s="69"/>
      <c r="AB238" s="69"/>
    </row>
    <row r="239" spans="1:28">
      <c r="A239" s="67"/>
      <c r="B239" s="67"/>
      <c r="C239" s="68"/>
      <c r="F239" s="69"/>
      <c r="G239" s="69"/>
      <c r="H239" s="69"/>
      <c r="I239" s="69"/>
      <c r="J239" s="69"/>
      <c r="K239" s="69"/>
      <c r="L239" s="69"/>
      <c r="M239" s="69"/>
      <c r="N239" s="69"/>
      <c r="O239" s="69"/>
      <c r="P239" s="69"/>
      <c r="Q239" s="69"/>
      <c r="R239" s="69"/>
      <c r="S239" s="69"/>
      <c r="T239" s="69"/>
      <c r="U239" s="69"/>
      <c r="V239" s="69"/>
      <c r="W239" s="81"/>
      <c r="X239" s="69"/>
      <c r="Y239" s="69"/>
      <c r="Z239" s="69"/>
      <c r="AA239" s="69"/>
      <c r="AB239" s="69"/>
    </row>
    <row r="240" spans="1:28">
      <c r="A240" s="67"/>
      <c r="B240" s="67"/>
      <c r="C240" s="68"/>
      <c r="F240" s="69"/>
      <c r="G240" s="69"/>
      <c r="H240" s="69"/>
      <c r="I240" s="69"/>
      <c r="J240" s="69"/>
      <c r="K240" s="69"/>
      <c r="L240" s="69"/>
      <c r="M240" s="69"/>
      <c r="N240" s="69"/>
      <c r="O240" s="69"/>
      <c r="P240" s="69"/>
      <c r="Q240" s="69"/>
      <c r="R240" s="69"/>
      <c r="S240" s="69"/>
      <c r="T240" s="69"/>
      <c r="U240" s="69"/>
      <c r="V240" s="69"/>
      <c r="W240" s="81"/>
      <c r="X240" s="69"/>
      <c r="Y240" s="69"/>
      <c r="Z240" s="69"/>
      <c r="AA240" s="69"/>
      <c r="AB240" s="69"/>
    </row>
    <row r="241" spans="1:28">
      <c r="A241" s="67"/>
      <c r="B241" s="67"/>
      <c r="C241" s="68"/>
      <c r="F241" s="69"/>
      <c r="G241" s="69"/>
      <c r="H241" s="69"/>
      <c r="I241" s="69"/>
      <c r="J241" s="69"/>
      <c r="K241" s="69"/>
      <c r="L241" s="69"/>
      <c r="M241" s="69"/>
      <c r="N241" s="69"/>
      <c r="O241" s="69"/>
      <c r="P241" s="69"/>
      <c r="Q241" s="69"/>
      <c r="R241" s="69"/>
      <c r="S241" s="69"/>
      <c r="T241" s="69"/>
      <c r="U241" s="69"/>
      <c r="V241" s="69"/>
      <c r="W241" s="81"/>
      <c r="X241" s="69"/>
      <c r="Y241" s="69"/>
      <c r="Z241" s="69"/>
      <c r="AA241" s="69"/>
      <c r="AB241" s="69"/>
    </row>
    <row r="242" spans="1:28">
      <c r="A242" s="67"/>
      <c r="B242" s="67"/>
      <c r="C242" s="68"/>
      <c r="F242" s="69"/>
      <c r="G242" s="69"/>
      <c r="H242" s="69"/>
      <c r="I242" s="69"/>
      <c r="J242" s="69"/>
      <c r="K242" s="69"/>
      <c r="L242" s="69"/>
      <c r="M242" s="69"/>
      <c r="N242" s="69"/>
      <c r="O242" s="69"/>
      <c r="P242" s="69"/>
      <c r="Q242" s="69"/>
      <c r="R242" s="69"/>
      <c r="S242" s="69"/>
      <c r="T242" s="69"/>
      <c r="U242" s="69"/>
      <c r="V242" s="69"/>
      <c r="W242" s="81"/>
      <c r="X242" s="69"/>
      <c r="Y242" s="69"/>
      <c r="Z242" s="69"/>
      <c r="AA242" s="69"/>
      <c r="AB242" s="69"/>
    </row>
    <row r="243" spans="1:28">
      <c r="A243" s="67"/>
      <c r="B243" s="67"/>
      <c r="C243" s="68"/>
      <c r="F243" s="69"/>
      <c r="G243" s="69"/>
      <c r="H243" s="69"/>
      <c r="I243" s="69"/>
      <c r="J243" s="69"/>
      <c r="K243" s="69"/>
      <c r="L243" s="69"/>
      <c r="M243" s="69"/>
      <c r="N243" s="69"/>
      <c r="O243" s="69"/>
      <c r="P243" s="69"/>
      <c r="Q243" s="69"/>
      <c r="R243" s="69"/>
      <c r="S243" s="69"/>
      <c r="T243" s="69"/>
      <c r="U243" s="69"/>
      <c r="V243" s="69"/>
      <c r="W243" s="81"/>
      <c r="X243" s="69"/>
      <c r="Y243" s="69"/>
      <c r="Z243" s="69"/>
      <c r="AA243" s="69"/>
      <c r="AB243" s="69"/>
    </row>
    <row r="244" spans="1:28">
      <c r="A244" s="67"/>
      <c r="B244" s="67"/>
      <c r="C244" s="68"/>
      <c r="F244" s="69"/>
      <c r="G244" s="69"/>
      <c r="H244" s="69"/>
      <c r="I244" s="69"/>
      <c r="J244" s="69"/>
      <c r="K244" s="69"/>
      <c r="L244" s="69"/>
      <c r="M244" s="69"/>
      <c r="N244" s="69"/>
      <c r="O244" s="69"/>
      <c r="P244" s="69"/>
      <c r="Q244" s="69"/>
      <c r="R244" s="69"/>
      <c r="S244" s="69"/>
      <c r="T244" s="69"/>
      <c r="U244" s="69"/>
      <c r="V244" s="69"/>
      <c r="W244" s="81"/>
      <c r="X244" s="69"/>
      <c r="Y244" s="69"/>
      <c r="Z244" s="69"/>
      <c r="AA244" s="69"/>
      <c r="AB244" s="69"/>
    </row>
    <row r="245" spans="1:28">
      <c r="A245" s="67"/>
      <c r="B245" s="67"/>
      <c r="C245" s="68"/>
      <c r="F245" s="69"/>
      <c r="G245" s="69"/>
      <c r="H245" s="69"/>
      <c r="I245" s="69"/>
      <c r="J245" s="69"/>
      <c r="K245" s="69"/>
      <c r="L245" s="69"/>
      <c r="M245" s="69"/>
      <c r="N245" s="69"/>
      <c r="O245" s="69"/>
      <c r="P245" s="69"/>
      <c r="Q245" s="69"/>
      <c r="R245" s="69"/>
      <c r="S245" s="69"/>
      <c r="T245" s="69"/>
      <c r="U245" s="69"/>
      <c r="V245" s="69"/>
      <c r="W245" s="81"/>
      <c r="X245" s="69"/>
      <c r="Y245" s="69"/>
      <c r="Z245" s="69"/>
      <c r="AA245" s="69"/>
      <c r="AB245" s="69"/>
    </row>
    <row r="246" spans="1:28">
      <c r="A246" s="67"/>
      <c r="B246" s="67"/>
      <c r="C246" s="68"/>
      <c r="F246" s="69"/>
      <c r="G246" s="69"/>
      <c r="H246" s="69"/>
      <c r="I246" s="69"/>
      <c r="J246" s="69"/>
      <c r="K246" s="69"/>
      <c r="L246" s="69"/>
      <c r="M246" s="69"/>
      <c r="N246" s="69"/>
      <c r="O246" s="69"/>
      <c r="P246" s="69"/>
      <c r="Q246" s="69"/>
      <c r="R246" s="69"/>
      <c r="S246" s="69"/>
      <c r="T246" s="69"/>
      <c r="U246" s="69"/>
      <c r="V246" s="69"/>
      <c r="W246" s="81"/>
      <c r="X246" s="69"/>
      <c r="Y246" s="69"/>
      <c r="Z246" s="69"/>
      <c r="AA246" s="69"/>
      <c r="AB246" s="69"/>
    </row>
    <row r="247" spans="1:28">
      <c r="A247" s="67"/>
      <c r="B247" s="67"/>
      <c r="C247" s="68"/>
      <c r="F247" s="69"/>
      <c r="G247" s="69"/>
      <c r="H247" s="69"/>
      <c r="I247" s="69"/>
      <c r="J247" s="69"/>
      <c r="K247" s="69"/>
      <c r="L247" s="69"/>
      <c r="M247" s="69"/>
      <c r="N247" s="69"/>
      <c r="O247" s="69"/>
      <c r="P247" s="69"/>
      <c r="Q247" s="69"/>
      <c r="R247" s="69"/>
      <c r="S247" s="69"/>
      <c r="T247" s="69"/>
      <c r="U247" s="69"/>
      <c r="V247" s="69"/>
      <c r="W247" s="81"/>
      <c r="X247" s="69"/>
      <c r="Y247" s="69"/>
      <c r="Z247" s="69"/>
      <c r="AA247" s="69"/>
      <c r="AB247" s="69"/>
    </row>
    <row r="248" spans="1:28">
      <c r="A248" s="67"/>
      <c r="B248" s="67"/>
      <c r="C248" s="68"/>
      <c r="F248" s="69"/>
      <c r="G248" s="69"/>
      <c r="H248" s="69"/>
      <c r="I248" s="69"/>
      <c r="J248" s="69"/>
      <c r="K248" s="69"/>
      <c r="L248" s="69"/>
      <c r="M248" s="69"/>
      <c r="N248" s="69"/>
      <c r="O248" s="69"/>
      <c r="P248" s="69"/>
      <c r="Q248" s="69"/>
      <c r="R248" s="69"/>
      <c r="S248" s="69"/>
      <c r="T248" s="69"/>
      <c r="U248" s="69"/>
      <c r="V248" s="69"/>
      <c r="W248" s="81"/>
      <c r="X248" s="69"/>
      <c r="Y248" s="69"/>
      <c r="Z248" s="69"/>
      <c r="AA248" s="69"/>
      <c r="AB248" s="69"/>
    </row>
    <row r="249" spans="1:28">
      <c r="A249" s="67"/>
      <c r="B249" s="67"/>
      <c r="C249" s="68"/>
      <c r="F249" s="69"/>
      <c r="G249" s="69"/>
      <c r="H249" s="69"/>
      <c r="I249" s="69"/>
      <c r="J249" s="69"/>
      <c r="K249" s="69"/>
      <c r="L249" s="69"/>
      <c r="M249" s="69"/>
      <c r="N249" s="69"/>
      <c r="O249" s="69"/>
      <c r="P249" s="69"/>
      <c r="Q249" s="69"/>
      <c r="R249" s="69"/>
      <c r="S249" s="69"/>
      <c r="T249" s="69"/>
      <c r="U249" s="69"/>
      <c r="V249" s="69"/>
      <c r="W249" s="81"/>
      <c r="X249" s="69"/>
      <c r="Y249" s="69"/>
      <c r="Z249" s="69"/>
      <c r="AA249" s="69"/>
      <c r="AB249" s="69"/>
    </row>
    <row r="250" spans="1:28">
      <c r="A250" s="67"/>
      <c r="B250" s="67"/>
      <c r="C250" s="68"/>
      <c r="F250" s="69"/>
      <c r="G250" s="69"/>
      <c r="H250" s="69"/>
      <c r="I250" s="69"/>
      <c r="J250" s="69"/>
      <c r="K250" s="69"/>
      <c r="L250" s="69"/>
      <c r="M250" s="69"/>
      <c r="N250" s="69"/>
      <c r="O250" s="69"/>
      <c r="P250" s="69"/>
      <c r="Q250" s="69"/>
      <c r="R250" s="69"/>
      <c r="S250" s="69"/>
      <c r="T250" s="69"/>
      <c r="U250" s="69"/>
      <c r="V250" s="69"/>
      <c r="W250" s="81"/>
      <c r="X250" s="69"/>
      <c r="Y250" s="69"/>
      <c r="Z250" s="69"/>
      <c r="AA250" s="69"/>
      <c r="AB250" s="69"/>
    </row>
    <row r="251" spans="1:28">
      <c r="A251" s="67"/>
      <c r="B251" s="67"/>
      <c r="C251" s="68"/>
      <c r="F251" s="69"/>
      <c r="G251" s="69"/>
      <c r="H251" s="69"/>
      <c r="I251" s="69"/>
      <c r="J251" s="69"/>
      <c r="K251" s="69"/>
      <c r="L251" s="69"/>
      <c r="M251" s="69"/>
      <c r="N251" s="69"/>
      <c r="O251" s="69"/>
      <c r="P251" s="69"/>
      <c r="Q251" s="69"/>
      <c r="R251" s="69"/>
      <c r="S251" s="69"/>
      <c r="T251" s="69"/>
      <c r="U251" s="69"/>
      <c r="V251" s="69"/>
      <c r="W251" s="81"/>
      <c r="X251" s="69"/>
      <c r="Y251" s="69"/>
      <c r="Z251" s="69"/>
      <c r="AA251" s="69"/>
      <c r="AB251" s="69"/>
    </row>
    <row r="252" spans="1:28">
      <c r="A252" s="67"/>
      <c r="B252" s="67"/>
      <c r="C252" s="68"/>
      <c r="F252" s="69"/>
      <c r="G252" s="69"/>
      <c r="H252" s="69"/>
      <c r="I252" s="69"/>
      <c r="J252" s="69"/>
      <c r="K252" s="69"/>
      <c r="L252" s="69"/>
      <c r="M252" s="69"/>
      <c r="N252" s="69"/>
      <c r="O252" s="69"/>
      <c r="P252" s="69"/>
      <c r="Q252" s="69"/>
      <c r="R252" s="69"/>
      <c r="S252" s="69"/>
      <c r="T252" s="69"/>
      <c r="U252" s="69"/>
      <c r="V252" s="69"/>
      <c r="W252" s="81"/>
      <c r="X252" s="69"/>
      <c r="Y252" s="69"/>
      <c r="Z252" s="69"/>
      <c r="AA252" s="69"/>
      <c r="AB252" s="69"/>
    </row>
    <row r="253" spans="1:28">
      <c r="A253" s="67"/>
      <c r="B253" s="67"/>
      <c r="C253" s="68"/>
      <c r="F253" s="69"/>
      <c r="G253" s="69"/>
      <c r="H253" s="69"/>
      <c r="I253" s="69"/>
      <c r="J253" s="69"/>
      <c r="K253" s="69"/>
      <c r="L253" s="69"/>
      <c r="M253" s="69"/>
      <c r="N253" s="69"/>
      <c r="O253" s="69"/>
      <c r="P253" s="69"/>
      <c r="Q253" s="69"/>
      <c r="R253" s="69"/>
      <c r="S253" s="69"/>
      <c r="T253" s="69"/>
      <c r="U253" s="69"/>
      <c r="V253" s="69"/>
      <c r="W253" s="81"/>
      <c r="X253" s="69"/>
      <c r="Y253" s="69"/>
      <c r="Z253" s="69"/>
      <c r="AA253" s="69"/>
      <c r="AB253" s="69"/>
    </row>
    <row r="254" spans="1:28">
      <c r="A254" s="67"/>
      <c r="B254" s="67"/>
      <c r="C254" s="68"/>
      <c r="F254" s="69"/>
      <c r="G254" s="69"/>
      <c r="H254" s="69"/>
      <c r="I254" s="69"/>
      <c r="J254" s="69"/>
      <c r="K254" s="69"/>
      <c r="L254" s="69"/>
      <c r="M254" s="69"/>
      <c r="N254" s="69"/>
      <c r="O254" s="69"/>
      <c r="P254" s="69"/>
      <c r="Q254" s="69"/>
      <c r="R254" s="69"/>
      <c r="S254" s="69"/>
      <c r="T254" s="69"/>
      <c r="U254" s="69"/>
      <c r="V254" s="69"/>
      <c r="W254" s="81"/>
      <c r="X254" s="69"/>
      <c r="Y254" s="69"/>
      <c r="Z254" s="69"/>
      <c r="AA254" s="69"/>
      <c r="AB254" s="69"/>
    </row>
    <row r="255" spans="1:28">
      <c r="A255" s="67"/>
      <c r="B255" s="67"/>
      <c r="C255" s="68"/>
      <c r="F255" s="69"/>
      <c r="G255" s="69"/>
      <c r="H255" s="69"/>
      <c r="I255" s="69"/>
      <c r="J255" s="69"/>
      <c r="K255" s="69"/>
      <c r="L255" s="69"/>
      <c r="M255" s="69"/>
      <c r="N255" s="69"/>
      <c r="O255" s="69"/>
      <c r="P255" s="69"/>
      <c r="Q255" s="69"/>
      <c r="R255" s="69"/>
      <c r="S255" s="69"/>
      <c r="T255" s="69"/>
      <c r="U255" s="69"/>
      <c r="V255" s="69"/>
      <c r="W255" s="81"/>
      <c r="X255" s="69"/>
      <c r="Y255" s="69"/>
      <c r="Z255" s="69"/>
      <c r="AA255" s="69"/>
      <c r="AB255" s="69"/>
    </row>
    <row r="256" spans="1:28">
      <c r="A256" s="67"/>
      <c r="B256" s="67"/>
      <c r="C256" s="68"/>
      <c r="F256" s="69"/>
      <c r="G256" s="69"/>
      <c r="H256" s="69"/>
      <c r="I256" s="69"/>
      <c r="J256" s="69"/>
      <c r="K256" s="69"/>
      <c r="L256" s="69"/>
      <c r="M256" s="69"/>
      <c r="N256" s="69"/>
      <c r="O256" s="69"/>
      <c r="P256" s="69"/>
      <c r="Q256" s="69"/>
      <c r="R256" s="69"/>
      <c r="S256" s="69"/>
      <c r="T256" s="69"/>
      <c r="U256" s="69"/>
      <c r="V256" s="69"/>
      <c r="W256" s="81"/>
      <c r="X256" s="69"/>
      <c r="Y256" s="69"/>
      <c r="Z256" s="69"/>
      <c r="AA256" s="69"/>
      <c r="AB256" s="69"/>
    </row>
    <row r="257" spans="1:28">
      <c r="A257" s="67"/>
      <c r="B257" s="67"/>
      <c r="C257" s="68"/>
      <c r="F257" s="69"/>
      <c r="G257" s="69"/>
      <c r="H257" s="69"/>
      <c r="I257" s="69"/>
      <c r="J257" s="69"/>
      <c r="K257" s="69"/>
      <c r="L257" s="69"/>
      <c r="M257" s="69"/>
      <c r="N257" s="69"/>
      <c r="O257" s="69"/>
      <c r="P257" s="69"/>
      <c r="Q257" s="69"/>
      <c r="R257" s="69"/>
      <c r="S257" s="69"/>
      <c r="T257" s="69"/>
      <c r="U257" s="69"/>
      <c r="V257" s="69"/>
      <c r="W257" s="81"/>
      <c r="X257" s="69"/>
      <c r="Y257" s="69"/>
      <c r="Z257" s="69"/>
      <c r="AA257" s="69"/>
      <c r="AB257" s="69"/>
    </row>
    <row r="258" spans="1:28">
      <c r="A258" s="67"/>
      <c r="B258" s="67"/>
      <c r="C258" s="68"/>
      <c r="F258" s="69"/>
      <c r="G258" s="69"/>
      <c r="H258" s="69"/>
      <c r="I258" s="69"/>
      <c r="J258" s="69"/>
      <c r="K258" s="69"/>
      <c r="L258" s="69"/>
      <c r="M258" s="69"/>
      <c r="N258" s="69"/>
      <c r="O258" s="69"/>
      <c r="P258" s="69"/>
      <c r="Q258" s="69"/>
      <c r="R258" s="69"/>
      <c r="S258" s="69"/>
      <c r="T258" s="69"/>
      <c r="U258" s="69"/>
      <c r="V258" s="69"/>
      <c r="W258" s="81"/>
      <c r="X258" s="69"/>
      <c r="Y258" s="69"/>
      <c r="Z258" s="69"/>
      <c r="AA258" s="69"/>
      <c r="AB258" s="69"/>
    </row>
    <row r="259" spans="1:28">
      <c r="A259" s="67"/>
      <c r="B259" s="67"/>
      <c r="C259" s="68"/>
      <c r="F259" s="69"/>
      <c r="G259" s="69"/>
      <c r="H259" s="69"/>
      <c r="I259" s="69"/>
      <c r="J259" s="69"/>
      <c r="K259" s="69"/>
      <c r="L259" s="69"/>
      <c r="M259" s="69"/>
      <c r="N259" s="69"/>
      <c r="O259" s="69"/>
      <c r="P259" s="69"/>
      <c r="Q259" s="69"/>
      <c r="R259" s="69"/>
      <c r="S259" s="69"/>
      <c r="T259" s="69"/>
      <c r="U259" s="69"/>
      <c r="V259" s="69"/>
      <c r="W259" s="81"/>
      <c r="X259" s="69"/>
      <c r="Y259" s="69"/>
      <c r="Z259" s="69"/>
      <c r="AA259" s="69"/>
      <c r="AB259" s="69"/>
    </row>
    <row r="260" spans="1:28">
      <c r="A260" s="67"/>
      <c r="B260" s="67"/>
      <c r="C260" s="68"/>
      <c r="F260" s="69"/>
      <c r="G260" s="69"/>
      <c r="H260" s="69"/>
      <c r="I260" s="69"/>
      <c r="J260" s="69"/>
      <c r="K260" s="69"/>
      <c r="L260" s="69"/>
      <c r="M260" s="69"/>
      <c r="N260" s="69"/>
      <c r="O260" s="69"/>
      <c r="P260" s="69"/>
      <c r="Q260" s="69"/>
      <c r="R260" s="69"/>
      <c r="S260" s="69"/>
      <c r="T260" s="69"/>
      <c r="U260" s="69"/>
      <c r="V260" s="69"/>
      <c r="W260" s="81"/>
      <c r="X260" s="69"/>
      <c r="Y260" s="69"/>
      <c r="Z260" s="69"/>
      <c r="AA260" s="69"/>
      <c r="AB260" s="69"/>
    </row>
    <row r="261" spans="1:28">
      <c r="A261" s="67"/>
      <c r="B261" s="67"/>
      <c r="C261" s="68"/>
      <c r="F261" s="69"/>
      <c r="G261" s="69"/>
      <c r="H261" s="69"/>
      <c r="I261" s="69"/>
      <c r="J261" s="69"/>
      <c r="K261" s="69"/>
      <c r="L261" s="69"/>
      <c r="M261" s="69"/>
      <c r="N261" s="69"/>
      <c r="O261" s="69"/>
      <c r="P261" s="69"/>
      <c r="Q261" s="69"/>
      <c r="R261" s="69"/>
      <c r="S261" s="69"/>
      <c r="T261" s="69"/>
      <c r="U261" s="69"/>
      <c r="V261" s="69"/>
      <c r="W261" s="81"/>
      <c r="X261" s="69"/>
      <c r="Y261" s="69"/>
      <c r="Z261" s="69"/>
      <c r="AA261" s="69"/>
      <c r="AB261" s="69"/>
    </row>
    <row r="262" spans="1:28">
      <c r="A262" s="67"/>
      <c r="B262" s="67"/>
      <c r="C262" s="68"/>
      <c r="F262" s="69"/>
      <c r="G262" s="69"/>
      <c r="H262" s="69"/>
      <c r="I262" s="69"/>
      <c r="J262" s="69"/>
      <c r="K262" s="69"/>
      <c r="L262" s="69"/>
      <c r="M262" s="69"/>
      <c r="N262" s="69"/>
      <c r="O262" s="69"/>
      <c r="P262" s="69"/>
      <c r="Q262" s="69"/>
      <c r="R262" s="69"/>
      <c r="S262" s="69"/>
      <c r="T262" s="69"/>
      <c r="U262" s="69"/>
      <c r="V262" s="69"/>
      <c r="W262" s="81"/>
      <c r="X262" s="69"/>
      <c r="Y262" s="69"/>
      <c r="Z262" s="69"/>
      <c r="AA262" s="69"/>
      <c r="AB262" s="69"/>
    </row>
    <row r="263" spans="1:28">
      <c r="A263" s="67"/>
      <c r="B263" s="67"/>
      <c r="C263" s="68"/>
      <c r="F263" s="69"/>
      <c r="G263" s="69"/>
      <c r="H263" s="69"/>
      <c r="I263" s="69"/>
      <c r="J263" s="69"/>
      <c r="K263" s="69"/>
      <c r="L263" s="69"/>
      <c r="M263" s="69"/>
      <c r="N263" s="69"/>
      <c r="O263" s="69"/>
      <c r="P263" s="69"/>
      <c r="Q263" s="69"/>
      <c r="R263" s="69"/>
      <c r="S263" s="69"/>
      <c r="T263" s="69"/>
      <c r="U263" s="69"/>
      <c r="V263" s="69"/>
      <c r="W263" s="81"/>
      <c r="X263" s="69"/>
      <c r="Y263" s="69"/>
      <c r="Z263" s="69"/>
      <c r="AA263" s="69"/>
      <c r="AB263" s="69"/>
    </row>
    <row r="264" spans="1:28">
      <c r="A264" s="67"/>
      <c r="B264" s="67"/>
      <c r="C264" s="68"/>
      <c r="F264" s="69"/>
      <c r="G264" s="69"/>
      <c r="H264" s="69"/>
      <c r="I264" s="69"/>
      <c r="J264" s="69"/>
      <c r="K264" s="69"/>
      <c r="L264" s="69"/>
      <c r="M264" s="69"/>
      <c r="N264" s="69"/>
      <c r="O264" s="69"/>
      <c r="P264" s="69"/>
      <c r="Q264" s="69"/>
      <c r="R264" s="69"/>
      <c r="S264" s="69"/>
      <c r="T264" s="69"/>
      <c r="U264" s="69"/>
      <c r="V264" s="69"/>
      <c r="W264" s="81"/>
      <c r="X264" s="69"/>
      <c r="Y264" s="69"/>
      <c r="Z264" s="69"/>
      <c r="AA264" s="69"/>
      <c r="AB264" s="69"/>
    </row>
    <row r="265" spans="1:28">
      <c r="A265" s="67"/>
      <c r="B265" s="67"/>
      <c r="C265" s="68"/>
      <c r="F265" s="69"/>
      <c r="G265" s="69"/>
      <c r="H265" s="69"/>
      <c r="I265" s="69"/>
      <c r="J265" s="69"/>
      <c r="K265" s="69"/>
      <c r="L265" s="69"/>
      <c r="M265" s="69"/>
      <c r="N265" s="69"/>
      <c r="O265" s="69"/>
      <c r="P265" s="69"/>
      <c r="Q265" s="69"/>
      <c r="R265" s="69"/>
      <c r="S265" s="69"/>
      <c r="T265" s="69"/>
      <c r="U265" s="69"/>
      <c r="V265" s="69"/>
      <c r="W265" s="81"/>
      <c r="X265" s="69"/>
      <c r="Y265" s="69"/>
      <c r="Z265" s="69"/>
      <c r="AA265" s="69"/>
      <c r="AB265" s="69"/>
    </row>
    <row r="266" spans="1:28">
      <c r="A266" s="67"/>
      <c r="B266" s="67"/>
      <c r="C266" s="68"/>
      <c r="F266" s="69"/>
      <c r="G266" s="69"/>
      <c r="H266" s="69"/>
      <c r="I266" s="69"/>
      <c r="J266" s="69"/>
      <c r="K266" s="69"/>
      <c r="L266" s="69"/>
      <c r="M266" s="69"/>
      <c r="N266" s="69"/>
      <c r="O266" s="69"/>
      <c r="P266" s="69"/>
      <c r="Q266" s="69"/>
      <c r="R266" s="69"/>
      <c r="S266" s="69"/>
      <c r="T266" s="69"/>
      <c r="U266" s="69"/>
      <c r="V266" s="69"/>
      <c r="W266" s="81"/>
      <c r="X266" s="69"/>
      <c r="Y266" s="69"/>
      <c r="Z266" s="69"/>
      <c r="AA266" s="69"/>
      <c r="AB266" s="69"/>
    </row>
    <row r="267" spans="1:28">
      <c r="A267" s="67"/>
      <c r="B267" s="67"/>
      <c r="C267" s="68"/>
      <c r="F267" s="69"/>
      <c r="G267" s="69"/>
      <c r="H267" s="69"/>
      <c r="I267" s="69"/>
      <c r="J267" s="69"/>
      <c r="K267" s="69"/>
      <c r="L267" s="69"/>
      <c r="M267" s="69"/>
      <c r="N267" s="69"/>
      <c r="O267" s="69"/>
      <c r="P267" s="69"/>
      <c r="Q267" s="69"/>
      <c r="R267" s="69"/>
      <c r="S267" s="69"/>
      <c r="T267" s="69"/>
      <c r="U267" s="69"/>
      <c r="V267" s="69"/>
      <c r="W267" s="81"/>
      <c r="X267" s="69"/>
      <c r="Y267" s="69"/>
      <c r="Z267" s="69"/>
      <c r="AA267" s="69"/>
      <c r="AB267" s="69"/>
    </row>
    <row r="268" spans="1:28">
      <c r="A268" s="67"/>
      <c r="B268" s="67"/>
      <c r="C268" s="68"/>
      <c r="F268" s="69"/>
      <c r="G268" s="69"/>
      <c r="H268" s="69"/>
      <c r="I268" s="69"/>
      <c r="J268" s="69"/>
      <c r="K268" s="69"/>
      <c r="L268" s="69"/>
      <c r="M268" s="69"/>
      <c r="N268" s="69"/>
      <c r="O268" s="69"/>
      <c r="P268" s="69"/>
      <c r="Q268" s="69"/>
      <c r="R268" s="69"/>
      <c r="S268" s="69"/>
      <c r="T268" s="69"/>
      <c r="U268" s="69"/>
      <c r="V268" s="69"/>
      <c r="W268" s="81"/>
      <c r="X268" s="69"/>
      <c r="Y268" s="69"/>
      <c r="Z268" s="69"/>
      <c r="AA268" s="69"/>
      <c r="AB268" s="69"/>
    </row>
    <row r="269" spans="1:28">
      <c r="A269" s="67"/>
      <c r="B269" s="67"/>
      <c r="C269" s="68"/>
      <c r="F269" s="69"/>
      <c r="G269" s="69"/>
      <c r="H269" s="69"/>
      <c r="I269" s="69"/>
      <c r="J269" s="69"/>
      <c r="K269" s="69"/>
      <c r="L269" s="69"/>
      <c r="M269" s="69"/>
      <c r="N269" s="69"/>
      <c r="O269" s="69"/>
      <c r="P269" s="69"/>
      <c r="Q269" s="69"/>
      <c r="R269" s="69"/>
      <c r="S269" s="69"/>
      <c r="T269" s="69"/>
      <c r="U269" s="69"/>
      <c r="V269" s="69"/>
      <c r="W269" s="81"/>
      <c r="X269" s="69"/>
      <c r="Y269" s="69"/>
      <c r="Z269" s="69"/>
      <c r="AA269" s="69"/>
      <c r="AB269" s="69"/>
    </row>
    <row r="270" spans="1:28">
      <c r="A270" s="67"/>
      <c r="B270" s="67"/>
      <c r="C270" s="68"/>
      <c r="F270" s="69"/>
      <c r="G270" s="69"/>
      <c r="H270" s="69"/>
      <c r="I270" s="69"/>
      <c r="J270" s="69"/>
      <c r="K270" s="69"/>
      <c r="L270" s="69"/>
      <c r="M270" s="69"/>
      <c r="N270" s="69"/>
      <c r="O270" s="69"/>
      <c r="P270" s="69"/>
      <c r="Q270" s="69"/>
      <c r="R270" s="69"/>
      <c r="S270" s="69"/>
      <c r="T270" s="69"/>
      <c r="U270" s="69"/>
      <c r="V270" s="69"/>
      <c r="W270" s="81"/>
      <c r="X270" s="69"/>
      <c r="Y270" s="69"/>
      <c r="Z270" s="69"/>
      <c r="AA270" s="69"/>
      <c r="AB270" s="69"/>
    </row>
    <row r="271" spans="1:28">
      <c r="A271" s="67"/>
      <c r="B271" s="67"/>
      <c r="C271" s="68"/>
      <c r="F271" s="69"/>
      <c r="G271" s="69"/>
      <c r="H271" s="69"/>
      <c r="I271" s="69"/>
      <c r="J271" s="69"/>
      <c r="K271" s="69"/>
      <c r="L271" s="69"/>
      <c r="M271" s="69"/>
      <c r="N271" s="69"/>
      <c r="O271" s="69"/>
      <c r="P271" s="69"/>
      <c r="Q271" s="69"/>
      <c r="R271" s="69"/>
      <c r="S271" s="69"/>
      <c r="T271" s="69"/>
      <c r="U271" s="69"/>
      <c r="V271" s="69"/>
      <c r="W271" s="81"/>
      <c r="X271" s="69"/>
      <c r="Y271" s="69"/>
      <c r="Z271" s="69"/>
      <c r="AA271" s="69"/>
      <c r="AB271" s="69"/>
    </row>
    <row r="272" spans="1:28">
      <c r="A272" s="67"/>
      <c r="B272" s="67"/>
      <c r="C272" s="68"/>
      <c r="F272" s="69"/>
      <c r="G272" s="69"/>
      <c r="H272" s="69"/>
      <c r="I272" s="69"/>
      <c r="J272" s="69"/>
      <c r="K272" s="69"/>
      <c r="L272" s="69"/>
      <c r="M272" s="69"/>
      <c r="N272" s="69"/>
      <c r="O272" s="69"/>
      <c r="P272" s="69"/>
      <c r="Q272" s="69"/>
      <c r="R272" s="69"/>
      <c r="S272" s="69"/>
      <c r="T272" s="69"/>
      <c r="U272" s="69"/>
      <c r="V272" s="69"/>
      <c r="W272" s="81"/>
      <c r="X272" s="69"/>
      <c r="Y272" s="69"/>
      <c r="Z272" s="69"/>
      <c r="AA272" s="69"/>
      <c r="AB272" s="69"/>
    </row>
    <row r="273" spans="1:28">
      <c r="A273" s="67"/>
      <c r="B273" s="67"/>
      <c r="C273" s="68"/>
      <c r="F273" s="69"/>
      <c r="G273" s="69"/>
      <c r="H273" s="69"/>
      <c r="I273" s="69"/>
      <c r="J273" s="69"/>
      <c r="K273" s="69"/>
      <c r="L273" s="69"/>
      <c r="M273" s="69"/>
      <c r="N273" s="69"/>
      <c r="O273" s="69"/>
      <c r="P273" s="69"/>
      <c r="Q273" s="69"/>
      <c r="R273" s="69"/>
      <c r="S273" s="69"/>
      <c r="T273" s="69"/>
      <c r="U273" s="69"/>
      <c r="V273" s="69"/>
      <c r="W273" s="81"/>
      <c r="X273" s="69"/>
      <c r="Y273" s="69"/>
      <c r="Z273" s="69"/>
      <c r="AA273" s="69"/>
      <c r="AB273" s="69"/>
    </row>
    <row r="274" spans="1:28">
      <c r="A274" s="67"/>
      <c r="B274" s="67"/>
      <c r="C274" s="68"/>
      <c r="F274" s="69"/>
      <c r="G274" s="69"/>
      <c r="H274" s="69"/>
      <c r="I274" s="69"/>
      <c r="J274" s="69"/>
      <c r="K274" s="69"/>
      <c r="L274" s="69"/>
      <c r="M274" s="69"/>
      <c r="N274" s="69"/>
      <c r="O274" s="69"/>
      <c r="P274" s="69"/>
      <c r="Q274" s="69"/>
      <c r="R274" s="69"/>
      <c r="S274" s="69"/>
      <c r="T274" s="69"/>
      <c r="U274" s="69"/>
      <c r="V274" s="69"/>
      <c r="W274" s="81"/>
      <c r="X274" s="69"/>
      <c r="Y274" s="69"/>
      <c r="Z274" s="69"/>
      <c r="AA274" s="69"/>
      <c r="AB274" s="69"/>
    </row>
    <row r="275" spans="1:28">
      <c r="A275" s="67"/>
      <c r="B275" s="67"/>
      <c r="C275" s="68"/>
      <c r="F275" s="69"/>
      <c r="G275" s="69"/>
      <c r="H275" s="69"/>
      <c r="I275" s="69"/>
      <c r="J275" s="69"/>
      <c r="K275" s="69"/>
      <c r="L275" s="69"/>
      <c r="M275" s="69"/>
      <c r="N275" s="69"/>
      <c r="O275" s="69"/>
      <c r="P275" s="69"/>
      <c r="Q275" s="69"/>
      <c r="R275" s="69"/>
      <c r="S275" s="69"/>
      <c r="T275" s="69"/>
      <c r="U275" s="69"/>
      <c r="V275" s="69"/>
      <c r="W275" s="81"/>
      <c r="X275" s="69"/>
      <c r="Y275" s="69"/>
      <c r="Z275" s="69"/>
      <c r="AA275" s="69"/>
      <c r="AB275" s="69"/>
    </row>
    <row r="276" spans="1:28">
      <c r="A276" s="67"/>
      <c r="B276" s="67"/>
      <c r="C276" s="68"/>
      <c r="F276" s="69"/>
      <c r="G276" s="69"/>
      <c r="H276" s="69"/>
      <c r="I276" s="69"/>
      <c r="J276" s="69"/>
      <c r="K276" s="69"/>
      <c r="L276" s="69"/>
      <c r="M276" s="69"/>
      <c r="N276" s="69"/>
      <c r="O276" s="69"/>
      <c r="P276" s="69"/>
      <c r="Q276" s="69"/>
      <c r="R276" s="69"/>
      <c r="S276" s="69"/>
      <c r="T276" s="69"/>
      <c r="U276" s="69"/>
      <c r="V276" s="69"/>
      <c r="W276" s="81"/>
      <c r="X276" s="69"/>
      <c r="Y276" s="69"/>
      <c r="Z276" s="69"/>
      <c r="AA276" s="69"/>
      <c r="AB276" s="69"/>
    </row>
    <row r="277" spans="1:28">
      <c r="A277" s="67"/>
      <c r="B277" s="67"/>
      <c r="C277" s="68"/>
      <c r="F277" s="69"/>
      <c r="G277" s="69"/>
      <c r="H277" s="69"/>
      <c r="I277" s="69"/>
      <c r="J277" s="69"/>
      <c r="K277" s="69"/>
      <c r="L277" s="69"/>
      <c r="M277" s="69"/>
      <c r="N277" s="69"/>
      <c r="O277" s="69"/>
      <c r="P277" s="69"/>
      <c r="Q277" s="69"/>
      <c r="R277" s="69"/>
      <c r="S277" s="69"/>
      <c r="T277" s="69"/>
      <c r="U277" s="69"/>
      <c r="V277" s="69"/>
      <c r="W277" s="81"/>
      <c r="X277" s="69"/>
      <c r="Y277" s="69"/>
      <c r="Z277" s="69"/>
      <c r="AA277" s="69"/>
      <c r="AB277" s="69"/>
    </row>
    <row r="278" spans="1:28">
      <c r="A278" s="67"/>
      <c r="B278" s="67"/>
      <c r="C278" s="68"/>
      <c r="F278" s="69"/>
      <c r="G278" s="69"/>
      <c r="H278" s="69"/>
      <c r="I278" s="69"/>
      <c r="J278" s="69"/>
      <c r="K278" s="69"/>
      <c r="L278" s="69"/>
      <c r="M278" s="69"/>
      <c r="N278" s="69"/>
      <c r="O278" s="69"/>
      <c r="P278" s="69"/>
      <c r="Q278" s="69"/>
      <c r="R278" s="69"/>
      <c r="S278" s="69"/>
      <c r="T278" s="69"/>
      <c r="U278" s="69"/>
      <c r="V278" s="69"/>
      <c r="W278" s="81"/>
      <c r="X278" s="69"/>
      <c r="Y278" s="69"/>
      <c r="Z278" s="69"/>
      <c r="AA278" s="69"/>
      <c r="AB278" s="69"/>
    </row>
    <row r="279" spans="1:28">
      <c r="A279" s="67"/>
      <c r="B279" s="67"/>
      <c r="C279" s="68"/>
      <c r="F279" s="69"/>
      <c r="G279" s="69"/>
      <c r="H279" s="69"/>
      <c r="I279" s="69"/>
      <c r="J279" s="69"/>
      <c r="K279" s="69"/>
      <c r="L279" s="69"/>
      <c r="M279" s="69"/>
      <c r="N279" s="69"/>
      <c r="O279" s="69"/>
      <c r="P279" s="69"/>
      <c r="Q279" s="69"/>
      <c r="R279" s="69"/>
      <c r="S279" s="69"/>
      <c r="T279" s="69"/>
      <c r="U279" s="69"/>
      <c r="V279" s="69"/>
      <c r="W279" s="81"/>
      <c r="X279" s="69"/>
      <c r="Y279" s="69"/>
      <c r="Z279" s="69"/>
      <c r="AA279" s="69"/>
      <c r="AB279" s="69"/>
    </row>
    <row r="280" spans="1:28">
      <c r="A280" s="67"/>
      <c r="B280" s="67"/>
      <c r="C280" s="68"/>
      <c r="F280" s="69"/>
      <c r="G280" s="69"/>
      <c r="H280" s="69"/>
      <c r="I280" s="69"/>
      <c r="J280" s="69"/>
      <c r="K280" s="69"/>
      <c r="L280" s="69"/>
      <c r="M280" s="69"/>
      <c r="N280" s="69"/>
      <c r="O280" s="69"/>
      <c r="P280" s="69"/>
      <c r="Q280" s="69"/>
      <c r="R280" s="69"/>
      <c r="S280" s="69"/>
      <c r="T280" s="69"/>
      <c r="U280" s="69"/>
      <c r="V280" s="69"/>
      <c r="W280" s="81"/>
      <c r="X280" s="69"/>
      <c r="Y280" s="69"/>
      <c r="Z280" s="69"/>
      <c r="AA280" s="69"/>
      <c r="AB280" s="69"/>
    </row>
    <row r="281" spans="1:28">
      <c r="A281" s="67"/>
      <c r="B281" s="67"/>
      <c r="C281" s="68"/>
      <c r="F281" s="69"/>
      <c r="G281" s="69"/>
      <c r="H281" s="69"/>
      <c r="I281" s="69"/>
      <c r="J281" s="69"/>
      <c r="K281" s="69"/>
      <c r="L281" s="69"/>
      <c r="M281" s="69"/>
      <c r="N281" s="69"/>
      <c r="O281" s="69"/>
      <c r="P281" s="69"/>
      <c r="Q281" s="69"/>
      <c r="R281" s="69"/>
      <c r="S281" s="69"/>
      <c r="T281" s="69"/>
      <c r="U281" s="69"/>
      <c r="V281" s="69"/>
      <c r="W281" s="81"/>
      <c r="X281" s="69"/>
      <c r="Y281" s="69"/>
      <c r="Z281" s="69"/>
      <c r="AA281" s="69"/>
      <c r="AB281" s="69"/>
    </row>
    <row r="282" spans="1:28">
      <c r="A282" s="67"/>
      <c r="B282" s="67"/>
      <c r="C282" s="68"/>
      <c r="F282" s="69"/>
      <c r="G282" s="69"/>
      <c r="H282" s="69"/>
      <c r="I282" s="69"/>
      <c r="J282" s="69"/>
      <c r="K282" s="69"/>
      <c r="L282" s="69"/>
      <c r="M282" s="69"/>
      <c r="N282" s="69"/>
      <c r="O282" s="69"/>
      <c r="P282" s="69"/>
      <c r="Q282" s="69"/>
      <c r="R282" s="69"/>
      <c r="S282" s="69"/>
      <c r="T282" s="69"/>
      <c r="U282" s="69"/>
      <c r="V282" s="69"/>
      <c r="W282" s="81"/>
      <c r="X282" s="69"/>
      <c r="Y282" s="69"/>
      <c r="Z282" s="69"/>
      <c r="AA282" s="69"/>
      <c r="AB282" s="69"/>
    </row>
    <row r="283" spans="1:28">
      <c r="A283" s="67"/>
      <c r="B283" s="67"/>
      <c r="C283" s="68"/>
      <c r="F283" s="69"/>
      <c r="G283" s="69"/>
      <c r="H283" s="69"/>
      <c r="I283" s="69"/>
      <c r="J283" s="69"/>
      <c r="K283" s="69"/>
      <c r="L283" s="69"/>
      <c r="M283" s="69"/>
      <c r="N283" s="69"/>
      <c r="O283" s="69"/>
      <c r="P283" s="69"/>
      <c r="Q283" s="69"/>
      <c r="R283" s="69"/>
      <c r="S283" s="69"/>
      <c r="T283" s="69"/>
      <c r="U283" s="69"/>
      <c r="V283" s="69"/>
      <c r="W283" s="81"/>
      <c r="X283" s="69"/>
      <c r="Y283" s="69"/>
      <c r="Z283" s="69"/>
      <c r="AA283" s="69"/>
      <c r="AB283" s="69"/>
    </row>
    <row r="284" spans="1:28">
      <c r="A284" s="67"/>
      <c r="B284" s="67"/>
      <c r="C284" s="68"/>
      <c r="F284" s="69"/>
      <c r="G284" s="69"/>
      <c r="H284" s="69"/>
      <c r="I284" s="69"/>
      <c r="J284" s="69"/>
      <c r="K284" s="69"/>
      <c r="L284" s="69"/>
      <c r="M284" s="69"/>
      <c r="N284" s="69"/>
      <c r="O284" s="69"/>
      <c r="P284" s="69"/>
      <c r="Q284" s="69"/>
      <c r="R284" s="69"/>
      <c r="S284" s="69"/>
      <c r="T284" s="69"/>
      <c r="U284" s="69"/>
      <c r="V284" s="69"/>
      <c r="W284" s="81"/>
      <c r="X284" s="69"/>
      <c r="Y284" s="69"/>
      <c r="Z284" s="69"/>
      <c r="AA284" s="69"/>
      <c r="AB284" s="69"/>
    </row>
    <row r="285" spans="1:28">
      <c r="A285" s="67"/>
      <c r="B285" s="67"/>
      <c r="C285" s="68"/>
      <c r="F285" s="69"/>
      <c r="G285" s="69"/>
      <c r="H285" s="69"/>
      <c r="I285" s="69"/>
      <c r="J285" s="69"/>
      <c r="K285" s="69"/>
      <c r="L285" s="69"/>
      <c r="M285" s="69"/>
      <c r="N285" s="69"/>
      <c r="O285" s="69"/>
      <c r="P285" s="69"/>
      <c r="Q285" s="69"/>
      <c r="R285" s="69"/>
      <c r="S285" s="69"/>
      <c r="T285" s="69"/>
      <c r="U285" s="69"/>
      <c r="V285" s="69"/>
      <c r="W285" s="81"/>
      <c r="X285" s="69"/>
      <c r="Y285" s="69"/>
      <c r="Z285" s="69"/>
      <c r="AA285" s="69"/>
      <c r="AB285" s="69"/>
    </row>
    <row r="286" spans="1:28">
      <c r="A286" s="67"/>
      <c r="B286" s="67"/>
      <c r="C286" s="68"/>
      <c r="F286" s="69"/>
      <c r="G286" s="69"/>
      <c r="H286" s="69"/>
      <c r="I286" s="69"/>
      <c r="J286" s="69"/>
      <c r="K286" s="69"/>
      <c r="L286" s="69"/>
      <c r="M286" s="69"/>
      <c r="N286" s="69"/>
      <c r="O286" s="69"/>
      <c r="P286" s="69"/>
      <c r="Q286" s="69"/>
      <c r="R286" s="69"/>
      <c r="S286" s="69"/>
      <c r="T286" s="69"/>
      <c r="U286" s="69"/>
      <c r="V286" s="69"/>
      <c r="W286" s="81"/>
      <c r="X286" s="69"/>
      <c r="Y286" s="69"/>
      <c r="Z286" s="69"/>
      <c r="AA286" s="69"/>
      <c r="AB286" s="69"/>
    </row>
    <row r="287" spans="1:28">
      <c r="A287" s="67"/>
      <c r="B287" s="67"/>
      <c r="C287" s="68"/>
      <c r="F287" s="69"/>
      <c r="G287" s="69"/>
      <c r="H287" s="69"/>
      <c r="I287" s="69"/>
      <c r="J287" s="69"/>
      <c r="K287" s="69"/>
      <c r="L287" s="69"/>
      <c r="M287" s="69"/>
      <c r="N287" s="69"/>
      <c r="O287" s="69"/>
      <c r="P287" s="69"/>
      <c r="Q287" s="69"/>
      <c r="R287" s="69"/>
      <c r="S287" s="69"/>
      <c r="T287" s="69"/>
      <c r="U287" s="69"/>
      <c r="V287" s="69"/>
      <c r="W287" s="81"/>
      <c r="X287" s="69"/>
      <c r="Y287" s="69"/>
      <c r="Z287" s="69"/>
      <c r="AA287" s="69"/>
      <c r="AB287" s="69"/>
    </row>
    <row r="288" spans="1:28">
      <c r="A288" s="67"/>
      <c r="B288" s="67"/>
      <c r="C288" s="68"/>
      <c r="F288" s="69"/>
      <c r="G288" s="69"/>
      <c r="H288" s="69"/>
      <c r="I288" s="69"/>
      <c r="J288" s="69"/>
      <c r="K288" s="69"/>
      <c r="L288" s="69"/>
      <c r="M288" s="69"/>
      <c r="N288" s="69"/>
      <c r="O288" s="69"/>
      <c r="P288" s="69"/>
      <c r="Q288" s="69"/>
      <c r="R288" s="69"/>
      <c r="S288" s="69"/>
      <c r="T288" s="69"/>
      <c r="U288" s="69"/>
      <c r="V288" s="69"/>
      <c r="W288" s="81"/>
      <c r="X288" s="69"/>
      <c r="Y288" s="69"/>
      <c r="Z288" s="69"/>
      <c r="AA288" s="69"/>
      <c r="AB288" s="69"/>
    </row>
    <row r="289" spans="1:28">
      <c r="A289" s="67"/>
      <c r="B289" s="67"/>
      <c r="C289" s="68"/>
      <c r="F289" s="69"/>
      <c r="G289" s="69"/>
      <c r="H289" s="69"/>
      <c r="I289" s="69"/>
      <c r="J289" s="69"/>
      <c r="K289" s="69"/>
      <c r="L289" s="69"/>
      <c r="M289" s="69"/>
      <c r="N289" s="69"/>
      <c r="O289" s="69"/>
      <c r="P289" s="69"/>
      <c r="Q289" s="69"/>
      <c r="R289" s="69"/>
      <c r="S289" s="69"/>
      <c r="T289" s="69"/>
      <c r="U289" s="69"/>
      <c r="V289" s="69"/>
      <c r="W289" s="81"/>
      <c r="X289" s="69"/>
      <c r="Y289" s="69"/>
      <c r="Z289" s="69"/>
      <c r="AA289" s="69"/>
      <c r="AB289" s="69"/>
    </row>
    <row r="290" spans="1:28">
      <c r="A290" s="67"/>
      <c r="B290" s="67"/>
      <c r="C290" s="68"/>
      <c r="F290" s="69"/>
      <c r="G290" s="69"/>
      <c r="H290" s="69"/>
      <c r="I290" s="69"/>
      <c r="J290" s="69"/>
      <c r="K290" s="69"/>
      <c r="L290" s="69"/>
      <c r="M290" s="69"/>
      <c r="N290" s="69"/>
      <c r="O290" s="69"/>
      <c r="P290" s="69"/>
      <c r="Q290" s="69"/>
      <c r="R290" s="69"/>
      <c r="S290" s="69"/>
      <c r="T290" s="69"/>
      <c r="U290" s="69"/>
      <c r="V290" s="69"/>
      <c r="W290" s="81"/>
      <c r="X290" s="69"/>
      <c r="Y290" s="69"/>
      <c r="Z290" s="69"/>
      <c r="AA290" s="69"/>
      <c r="AB290" s="69"/>
    </row>
    <row r="291" spans="1:28">
      <c r="A291" s="67"/>
      <c r="B291" s="67"/>
      <c r="C291" s="68"/>
      <c r="F291" s="69"/>
      <c r="G291" s="69"/>
      <c r="H291" s="69"/>
      <c r="I291" s="69"/>
      <c r="J291" s="69"/>
      <c r="K291" s="69"/>
      <c r="L291" s="69"/>
      <c r="M291" s="69"/>
      <c r="N291" s="69"/>
      <c r="O291" s="69"/>
      <c r="P291" s="69"/>
      <c r="Q291" s="69"/>
      <c r="R291" s="69"/>
      <c r="S291" s="69"/>
      <c r="T291" s="69"/>
      <c r="U291" s="69"/>
      <c r="V291" s="69"/>
      <c r="W291" s="81"/>
      <c r="X291" s="69"/>
      <c r="Y291" s="69"/>
      <c r="Z291" s="69"/>
      <c r="AA291" s="69"/>
      <c r="AB291" s="69"/>
    </row>
    <row r="292" spans="1:28">
      <c r="A292" s="67"/>
      <c r="B292" s="67"/>
      <c r="C292" s="68"/>
      <c r="F292" s="69"/>
      <c r="G292" s="69"/>
      <c r="H292" s="69"/>
      <c r="I292" s="69"/>
      <c r="J292" s="69"/>
      <c r="K292" s="69"/>
      <c r="L292" s="69"/>
      <c r="M292" s="69"/>
      <c r="N292" s="69"/>
      <c r="O292" s="69"/>
      <c r="P292" s="69"/>
      <c r="Q292" s="69"/>
      <c r="R292" s="69"/>
      <c r="S292" s="69"/>
      <c r="T292" s="69"/>
      <c r="U292" s="69"/>
      <c r="V292" s="69"/>
      <c r="W292" s="81"/>
      <c r="X292" s="69"/>
      <c r="Y292" s="69"/>
      <c r="Z292" s="69"/>
      <c r="AA292" s="69"/>
      <c r="AB292" s="69"/>
    </row>
    <row r="293" spans="1:28">
      <c r="A293" s="67"/>
      <c r="B293" s="67"/>
      <c r="C293" s="68"/>
      <c r="F293" s="69"/>
      <c r="G293" s="69"/>
      <c r="H293" s="69"/>
      <c r="I293" s="69"/>
      <c r="J293" s="69"/>
      <c r="K293" s="69"/>
      <c r="L293" s="69"/>
      <c r="M293" s="69"/>
      <c r="N293" s="69"/>
      <c r="O293" s="69"/>
      <c r="P293" s="69"/>
      <c r="Q293" s="69"/>
      <c r="R293" s="69"/>
      <c r="S293" s="69"/>
      <c r="T293" s="69"/>
      <c r="U293" s="69"/>
      <c r="V293" s="69"/>
      <c r="W293" s="81"/>
      <c r="X293" s="69"/>
      <c r="Y293" s="69"/>
      <c r="Z293" s="69"/>
      <c r="AA293" s="69"/>
      <c r="AB293" s="69"/>
    </row>
    <row r="294" spans="1:28">
      <c r="A294" s="67"/>
      <c r="B294" s="67"/>
      <c r="C294" s="68"/>
      <c r="F294" s="69"/>
      <c r="G294" s="69"/>
      <c r="H294" s="69"/>
      <c r="I294" s="69"/>
      <c r="J294" s="69"/>
      <c r="K294" s="69"/>
      <c r="L294" s="69"/>
      <c r="M294" s="69"/>
      <c r="N294" s="69"/>
      <c r="O294" s="69"/>
      <c r="P294" s="69"/>
      <c r="Q294" s="69"/>
      <c r="R294" s="69"/>
      <c r="S294" s="69"/>
      <c r="T294" s="69"/>
      <c r="U294" s="69"/>
      <c r="V294" s="69"/>
      <c r="W294" s="81"/>
      <c r="X294" s="69"/>
      <c r="Y294" s="69"/>
      <c r="Z294" s="69"/>
      <c r="AA294" s="69"/>
      <c r="AB294" s="69"/>
    </row>
    <row r="295" spans="1:28">
      <c r="A295" s="67"/>
      <c r="B295" s="67"/>
      <c r="C295" s="68"/>
      <c r="F295" s="69"/>
      <c r="G295" s="69"/>
      <c r="H295" s="69"/>
      <c r="I295" s="69"/>
      <c r="J295" s="69"/>
      <c r="K295" s="69"/>
      <c r="L295" s="69"/>
      <c r="M295" s="69"/>
      <c r="N295" s="69"/>
      <c r="O295" s="69"/>
      <c r="P295" s="69"/>
      <c r="Q295" s="69"/>
      <c r="R295" s="69"/>
      <c r="S295" s="69"/>
      <c r="T295" s="69"/>
      <c r="U295" s="69"/>
      <c r="V295" s="69"/>
      <c r="W295" s="81"/>
      <c r="X295" s="69"/>
      <c r="Y295" s="69"/>
      <c r="Z295" s="69"/>
      <c r="AA295" s="69"/>
      <c r="AB295" s="69"/>
    </row>
    <row r="296" spans="1:28">
      <c r="A296" s="67"/>
      <c r="B296" s="67"/>
      <c r="C296" s="68"/>
      <c r="F296" s="69"/>
      <c r="G296" s="69"/>
      <c r="H296" s="69"/>
      <c r="I296" s="69"/>
      <c r="J296" s="69"/>
      <c r="K296" s="69"/>
      <c r="L296" s="69"/>
      <c r="M296" s="69"/>
      <c r="N296" s="69"/>
      <c r="O296" s="69"/>
      <c r="P296" s="69"/>
      <c r="Q296" s="69"/>
      <c r="R296" s="69"/>
      <c r="S296" s="69"/>
      <c r="T296" s="69"/>
      <c r="U296" s="69"/>
      <c r="V296" s="69"/>
      <c r="W296" s="81"/>
      <c r="X296" s="69"/>
      <c r="Y296" s="69"/>
      <c r="Z296" s="69"/>
      <c r="AA296" s="69"/>
      <c r="AB296" s="69"/>
    </row>
    <row r="297" spans="1:28">
      <c r="A297" s="67"/>
      <c r="B297" s="67"/>
      <c r="C297" s="68"/>
      <c r="F297" s="69"/>
      <c r="G297" s="69"/>
      <c r="H297" s="69"/>
      <c r="I297" s="69"/>
      <c r="J297" s="69"/>
      <c r="K297" s="69"/>
      <c r="L297" s="69"/>
      <c r="M297" s="69"/>
      <c r="N297" s="69"/>
      <c r="O297" s="69"/>
      <c r="P297" s="69"/>
      <c r="Q297" s="69"/>
      <c r="R297" s="69"/>
      <c r="S297" s="69"/>
      <c r="T297" s="69"/>
      <c r="U297" s="69"/>
      <c r="V297" s="69"/>
      <c r="W297" s="81"/>
      <c r="X297" s="69"/>
      <c r="Y297" s="69"/>
      <c r="Z297" s="69"/>
      <c r="AA297" s="69"/>
      <c r="AB297" s="69"/>
    </row>
    <row r="298" spans="1:28">
      <c r="A298" s="67"/>
      <c r="B298" s="67"/>
      <c r="C298" s="68"/>
      <c r="F298" s="69"/>
      <c r="G298" s="69"/>
      <c r="H298" s="69"/>
      <c r="I298" s="69"/>
      <c r="J298" s="69"/>
      <c r="K298" s="69"/>
      <c r="L298" s="69"/>
      <c r="M298" s="69"/>
      <c r="N298" s="69"/>
      <c r="O298" s="69"/>
      <c r="P298" s="69"/>
      <c r="Q298" s="69"/>
      <c r="R298" s="69"/>
      <c r="S298" s="69"/>
      <c r="T298" s="69"/>
      <c r="U298" s="69"/>
      <c r="V298" s="69"/>
      <c r="W298" s="81"/>
      <c r="X298" s="69"/>
      <c r="Y298" s="69"/>
      <c r="Z298" s="69"/>
      <c r="AA298" s="69"/>
      <c r="AB298" s="69"/>
    </row>
    <row r="299" spans="1:28">
      <c r="A299" s="67"/>
      <c r="B299" s="67"/>
      <c r="C299" s="68"/>
      <c r="F299" s="69"/>
      <c r="G299" s="69"/>
      <c r="H299" s="69"/>
      <c r="I299" s="69"/>
      <c r="J299" s="69"/>
      <c r="K299" s="69"/>
      <c r="L299" s="69"/>
      <c r="M299" s="69"/>
      <c r="N299" s="69"/>
      <c r="O299" s="69"/>
      <c r="P299" s="69"/>
      <c r="Q299" s="69"/>
      <c r="R299" s="69"/>
      <c r="S299" s="69"/>
      <c r="T299" s="69"/>
      <c r="U299" s="69"/>
      <c r="V299" s="69"/>
      <c r="W299" s="81"/>
      <c r="X299" s="69"/>
      <c r="Y299" s="69"/>
      <c r="Z299" s="69"/>
      <c r="AA299" s="69"/>
      <c r="AB299" s="69"/>
    </row>
    <row r="300" spans="1:28">
      <c r="A300" s="67"/>
      <c r="B300" s="67"/>
      <c r="C300" s="68"/>
      <c r="F300" s="69"/>
      <c r="G300" s="69"/>
      <c r="H300" s="69"/>
      <c r="I300" s="69"/>
      <c r="J300" s="69"/>
      <c r="K300" s="69"/>
      <c r="L300" s="69"/>
      <c r="M300" s="69"/>
      <c r="N300" s="69"/>
      <c r="O300" s="69"/>
      <c r="P300" s="69"/>
      <c r="Q300" s="69"/>
      <c r="R300" s="69"/>
      <c r="S300" s="69"/>
      <c r="T300" s="69"/>
      <c r="U300" s="69"/>
      <c r="V300" s="69"/>
      <c r="W300" s="81"/>
      <c r="X300" s="69"/>
      <c r="Y300" s="69"/>
      <c r="Z300" s="69"/>
      <c r="AA300" s="69"/>
      <c r="AB300" s="69"/>
    </row>
    <row r="301" spans="1:28">
      <c r="A301" s="67"/>
      <c r="B301" s="67"/>
      <c r="C301" s="68"/>
      <c r="F301" s="69"/>
      <c r="G301" s="69"/>
      <c r="H301" s="69"/>
      <c r="I301" s="69"/>
      <c r="J301" s="69"/>
      <c r="K301" s="69"/>
      <c r="L301" s="69"/>
      <c r="M301" s="69"/>
      <c r="N301" s="69"/>
      <c r="O301" s="69"/>
      <c r="P301" s="69"/>
      <c r="Q301" s="69"/>
      <c r="R301" s="69"/>
      <c r="S301" s="69"/>
      <c r="T301" s="69"/>
      <c r="U301" s="69"/>
      <c r="V301" s="69"/>
      <c r="W301" s="81"/>
      <c r="X301" s="69"/>
      <c r="Y301" s="69"/>
      <c r="Z301" s="69"/>
      <c r="AA301" s="69"/>
      <c r="AB301" s="69"/>
    </row>
    <row r="302" spans="1:28">
      <c r="A302" s="67"/>
      <c r="B302" s="67"/>
      <c r="C302" s="68"/>
      <c r="F302" s="69"/>
      <c r="G302" s="69"/>
      <c r="H302" s="69"/>
      <c r="I302" s="69"/>
      <c r="J302" s="69"/>
      <c r="K302" s="69"/>
      <c r="L302" s="69"/>
      <c r="M302" s="69"/>
      <c r="N302" s="69"/>
      <c r="O302" s="69"/>
      <c r="P302" s="69"/>
      <c r="Q302" s="69"/>
      <c r="R302" s="69"/>
      <c r="S302" s="69"/>
      <c r="T302" s="69"/>
      <c r="U302" s="69"/>
      <c r="V302" s="69"/>
      <c r="W302" s="81"/>
      <c r="X302" s="69"/>
      <c r="Y302" s="69"/>
      <c r="Z302" s="69"/>
      <c r="AA302" s="69"/>
      <c r="AB302" s="69"/>
    </row>
    <row r="303" spans="1:28">
      <c r="A303" s="67"/>
      <c r="B303" s="67"/>
      <c r="C303" s="68"/>
      <c r="F303" s="69"/>
      <c r="G303" s="69"/>
      <c r="H303" s="69"/>
      <c r="I303" s="69"/>
      <c r="J303" s="69"/>
      <c r="K303" s="69"/>
      <c r="L303" s="69"/>
      <c r="M303" s="69"/>
      <c r="N303" s="69"/>
      <c r="O303" s="69"/>
      <c r="P303" s="69"/>
      <c r="Q303" s="69"/>
      <c r="R303" s="69"/>
      <c r="S303" s="69"/>
      <c r="T303" s="69"/>
      <c r="U303" s="69"/>
      <c r="V303" s="69"/>
      <c r="W303" s="81"/>
      <c r="X303" s="69"/>
      <c r="Y303" s="69"/>
      <c r="Z303" s="69"/>
      <c r="AA303" s="69"/>
      <c r="AB303" s="69"/>
    </row>
    <row r="304" spans="1:28">
      <c r="A304" s="67"/>
      <c r="B304" s="67"/>
      <c r="C304" s="68"/>
      <c r="F304" s="69"/>
      <c r="G304" s="69"/>
      <c r="H304" s="69"/>
      <c r="I304" s="69"/>
      <c r="J304" s="69"/>
      <c r="K304" s="69"/>
      <c r="L304" s="69"/>
      <c r="M304" s="69"/>
      <c r="N304" s="69"/>
      <c r="O304" s="69"/>
      <c r="P304" s="69"/>
      <c r="Q304" s="69"/>
      <c r="R304" s="69"/>
      <c r="S304" s="69"/>
      <c r="T304" s="69"/>
      <c r="U304" s="69"/>
      <c r="V304" s="69"/>
      <c r="W304" s="81"/>
      <c r="X304" s="69"/>
      <c r="Y304" s="69"/>
      <c r="Z304" s="69"/>
      <c r="AA304" s="69"/>
      <c r="AB304" s="69"/>
    </row>
    <row r="305" spans="1:28">
      <c r="A305" s="67"/>
      <c r="B305" s="67"/>
      <c r="C305" s="68"/>
      <c r="F305" s="69"/>
      <c r="G305" s="69"/>
      <c r="H305" s="69"/>
      <c r="I305" s="69"/>
      <c r="J305" s="69"/>
      <c r="K305" s="69"/>
      <c r="L305" s="69"/>
      <c r="M305" s="69"/>
      <c r="N305" s="69"/>
      <c r="O305" s="69"/>
      <c r="P305" s="69"/>
      <c r="Q305" s="69"/>
      <c r="R305" s="69"/>
      <c r="S305" s="69"/>
      <c r="T305" s="69"/>
      <c r="U305" s="69"/>
      <c r="V305" s="69"/>
      <c r="W305" s="81"/>
      <c r="X305" s="69"/>
      <c r="Y305" s="69"/>
      <c r="Z305" s="69"/>
      <c r="AA305" s="69"/>
      <c r="AB305" s="69"/>
    </row>
    <row r="306" spans="1:28">
      <c r="A306" s="67"/>
      <c r="B306" s="67"/>
      <c r="C306" s="68"/>
      <c r="F306" s="69"/>
      <c r="G306" s="69"/>
      <c r="H306" s="69"/>
      <c r="I306" s="69"/>
      <c r="J306" s="69"/>
      <c r="K306" s="69"/>
      <c r="L306" s="69"/>
      <c r="M306" s="69"/>
      <c r="N306" s="69"/>
      <c r="O306" s="69"/>
      <c r="P306" s="69"/>
      <c r="Q306" s="69"/>
      <c r="R306" s="69"/>
      <c r="S306" s="69"/>
      <c r="T306" s="69"/>
      <c r="U306" s="69"/>
      <c r="V306" s="69"/>
      <c r="W306" s="81"/>
      <c r="X306" s="69"/>
      <c r="Y306" s="69"/>
      <c r="Z306" s="69"/>
      <c r="AA306" s="69"/>
      <c r="AB306" s="69"/>
    </row>
    <row r="307" spans="1:28">
      <c r="A307" s="67"/>
      <c r="B307" s="67"/>
      <c r="C307" s="68"/>
      <c r="F307" s="69"/>
      <c r="G307" s="69"/>
      <c r="H307" s="69"/>
      <c r="I307" s="69"/>
      <c r="J307" s="69"/>
      <c r="K307" s="69"/>
      <c r="L307" s="69"/>
      <c r="M307" s="69"/>
      <c r="N307" s="69"/>
      <c r="O307" s="69"/>
      <c r="P307" s="69"/>
      <c r="Q307" s="69"/>
      <c r="R307" s="69"/>
      <c r="S307" s="69"/>
      <c r="T307" s="69"/>
      <c r="U307" s="69"/>
      <c r="V307" s="69"/>
      <c r="W307" s="81"/>
      <c r="X307" s="69"/>
      <c r="Y307" s="69"/>
      <c r="Z307" s="69"/>
      <c r="AA307" s="69"/>
      <c r="AB307" s="69"/>
    </row>
    <row r="308" spans="1:28">
      <c r="A308" s="67"/>
      <c r="B308" s="67"/>
      <c r="C308" s="68"/>
      <c r="F308" s="69"/>
      <c r="G308" s="69"/>
      <c r="H308" s="69"/>
      <c r="I308" s="69"/>
      <c r="J308" s="69"/>
      <c r="K308" s="69"/>
      <c r="L308" s="69"/>
      <c r="M308" s="69"/>
      <c r="N308" s="69"/>
      <c r="O308" s="69"/>
      <c r="P308" s="69"/>
      <c r="Q308" s="69"/>
      <c r="R308" s="69"/>
      <c r="S308" s="69"/>
      <c r="T308" s="69"/>
      <c r="U308" s="69"/>
      <c r="V308" s="69"/>
      <c r="W308" s="81"/>
      <c r="X308" s="69"/>
      <c r="Y308" s="69"/>
      <c r="Z308" s="69"/>
      <c r="AA308" s="69"/>
      <c r="AB308" s="69"/>
    </row>
    <row r="309" spans="1:28">
      <c r="A309" s="67"/>
      <c r="B309" s="67"/>
      <c r="C309" s="68"/>
      <c r="F309" s="69"/>
      <c r="G309" s="69"/>
      <c r="H309" s="69"/>
      <c r="I309" s="69"/>
      <c r="J309" s="69"/>
      <c r="K309" s="69"/>
      <c r="L309" s="69"/>
      <c r="M309" s="69"/>
      <c r="N309" s="69"/>
      <c r="O309" s="69"/>
      <c r="P309" s="69"/>
      <c r="Q309" s="69"/>
      <c r="R309" s="69"/>
      <c r="S309" s="69"/>
      <c r="T309" s="69"/>
      <c r="U309" s="69"/>
      <c r="V309" s="69"/>
      <c r="W309" s="81"/>
      <c r="X309" s="69"/>
      <c r="Y309" s="69"/>
      <c r="Z309" s="69"/>
      <c r="AA309" s="69"/>
      <c r="AB309" s="69"/>
    </row>
    <row r="310" spans="1:28">
      <c r="A310" s="67"/>
      <c r="B310" s="67"/>
      <c r="C310" s="68"/>
      <c r="F310" s="69"/>
      <c r="G310" s="69"/>
      <c r="H310" s="69"/>
      <c r="I310" s="69"/>
      <c r="J310" s="69"/>
      <c r="K310" s="69"/>
      <c r="L310" s="69"/>
      <c r="M310" s="69"/>
      <c r="N310" s="69"/>
      <c r="O310" s="69"/>
      <c r="P310" s="69"/>
      <c r="Q310" s="69"/>
      <c r="R310" s="69"/>
      <c r="S310" s="69"/>
      <c r="T310" s="69"/>
      <c r="U310" s="69"/>
      <c r="V310" s="69"/>
      <c r="W310" s="81"/>
      <c r="X310" s="69"/>
      <c r="Y310" s="69"/>
      <c r="Z310" s="69"/>
      <c r="AA310" s="69"/>
      <c r="AB310" s="69"/>
    </row>
    <row r="311" spans="1:28">
      <c r="A311" s="67"/>
      <c r="B311" s="67"/>
      <c r="C311" s="68"/>
      <c r="F311" s="69"/>
      <c r="G311" s="69"/>
      <c r="H311" s="69"/>
      <c r="I311" s="69"/>
      <c r="J311" s="69"/>
      <c r="K311" s="69"/>
      <c r="L311" s="69"/>
      <c r="M311" s="69"/>
      <c r="N311" s="69"/>
      <c r="O311" s="69"/>
      <c r="P311" s="69"/>
      <c r="Q311" s="69"/>
      <c r="R311" s="69"/>
      <c r="S311" s="69"/>
      <c r="T311" s="69"/>
      <c r="U311" s="69"/>
      <c r="V311" s="69"/>
      <c r="W311" s="81"/>
      <c r="X311" s="69"/>
      <c r="Y311" s="69"/>
      <c r="Z311" s="69"/>
      <c r="AA311" s="69"/>
      <c r="AB311" s="69"/>
    </row>
    <row r="312" spans="1:28">
      <c r="A312" s="67"/>
      <c r="B312" s="67"/>
      <c r="C312" s="68"/>
      <c r="F312" s="69"/>
      <c r="G312" s="69"/>
      <c r="H312" s="69"/>
      <c r="I312" s="69"/>
      <c r="J312" s="69"/>
      <c r="K312" s="69"/>
      <c r="L312" s="69"/>
      <c r="M312" s="69"/>
      <c r="N312" s="69"/>
      <c r="O312" s="69"/>
      <c r="P312" s="69"/>
      <c r="Q312" s="69"/>
      <c r="R312" s="69"/>
      <c r="S312" s="69"/>
      <c r="T312" s="69"/>
      <c r="U312" s="69"/>
      <c r="V312" s="69"/>
      <c r="W312" s="81"/>
      <c r="X312" s="69"/>
      <c r="Y312" s="69"/>
      <c r="Z312" s="69"/>
      <c r="AA312" s="69"/>
      <c r="AB312" s="69"/>
    </row>
    <row r="313" spans="1:28">
      <c r="A313" s="67"/>
      <c r="B313" s="67"/>
      <c r="C313" s="68"/>
      <c r="F313" s="69"/>
      <c r="G313" s="69"/>
      <c r="H313" s="69"/>
      <c r="I313" s="69"/>
      <c r="J313" s="69"/>
      <c r="K313" s="69"/>
      <c r="L313" s="69"/>
      <c r="M313" s="69"/>
      <c r="N313" s="69"/>
      <c r="O313" s="69"/>
      <c r="P313" s="69"/>
      <c r="Q313" s="69"/>
      <c r="R313" s="69"/>
      <c r="S313" s="69"/>
      <c r="T313" s="69"/>
      <c r="U313" s="69"/>
      <c r="V313" s="69"/>
      <c r="W313" s="81"/>
      <c r="X313" s="69"/>
      <c r="Y313" s="69"/>
      <c r="Z313" s="69"/>
      <c r="AA313" s="69"/>
      <c r="AB313" s="69"/>
    </row>
    <row r="314" spans="1:28">
      <c r="A314" s="67"/>
      <c r="B314" s="67"/>
      <c r="C314" s="68"/>
      <c r="F314" s="69"/>
      <c r="G314" s="69"/>
      <c r="H314" s="69"/>
      <c r="I314" s="69"/>
      <c r="J314" s="69"/>
      <c r="K314" s="69"/>
      <c r="L314" s="69"/>
      <c r="M314" s="69"/>
      <c r="N314" s="69"/>
      <c r="O314" s="69"/>
      <c r="P314" s="69"/>
      <c r="Q314" s="69"/>
      <c r="R314" s="69"/>
      <c r="S314" s="69"/>
      <c r="T314" s="69"/>
      <c r="U314" s="69"/>
      <c r="V314" s="69"/>
      <c r="W314" s="81"/>
      <c r="X314" s="69"/>
      <c r="Y314" s="69"/>
      <c r="Z314" s="69"/>
      <c r="AA314" s="69"/>
      <c r="AB314" s="69"/>
    </row>
    <row r="315" spans="1:28">
      <c r="A315" s="67"/>
      <c r="B315" s="67"/>
      <c r="C315" s="68"/>
      <c r="F315" s="69"/>
      <c r="G315" s="69"/>
      <c r="H315" s="69"/>
      <c r="I315" s="69"/>
      <c r="J315" s="69"/>
      <c r="K315" s="69"/>
      <c r="L315" s="69"/>
      <c r="M315" s="69"/>
      <c r="N315" s="69"/>
      <c r="O315" s="69"/>
      <c r="P315" s="69"/>
      <c r="Q315" s="69"/>
      <c r="R315" s="69"/>
      <c r="S315" s="69"/>
      <c r="T315" s="69"/>
      <c r="U315" s="69"/>
      <c r="V315" s="69"/>
      <c r="W315" s="81"/>
      <c r="X315" s="69"/>
      <c r="Y315" s="69"/>
      <c r="Z315" s="69"/>
      <c r="AA315" s="69"/>
      <c r="AB315" s="69"/>
    </row>
    <row r="316" spans="1:28">
      <c r="A316" s="67"/>
      <c r="B316" s="67"/>
      <c r="C316" s="68"/>
      <c r="F316" s="69"/>
      <c r="G316" s="69"/>
      <c r="H316" s="69"/>
      <c r="I316" s="69"/>
      <c r="J316" s="69"/>
      <c r="K316" s="69"/>
      <c r="L316" s="69"/>
      <c r="M316" s="69"/>
      <c r="N316" s="69"/>
      <c r="O316" s="69"/>
      <c r="P316" s="69"/>
      <c r="Q316" s="69"/>
      <c r="R316" s="69"/>
      <c r="S316" s="69"/>
      <c r="T316" s="69"/>
      <c r="U316" s="69"/>
      <c r="V316" s="69"/>
      <c r="W316" s="81"/>
      <c r="X316" s="69"/>
      <c r="Y316" s="69"/>
      <c r="Z316" s="69"/>
      <c r="AA316" s="69"/>
      <c r="AB316" s="69"/>
    </row>
    <row r="317" spans="1:28">
      <c r="A317" s="67"/>
      <c r="B317" s="67"/>
      <c r="C317" s="68"/>
      <c r="F317" s="69"/>
      <c r="G317" s="69"/>
      <c r="H317" s="69"/>
      <c r="I317" s="69"/>
      <c r="J317" s="69"/>
      <c r="K317" s="69"/>
      <c r="L317" s="69"/>
      <c r="M317" s="69"/>
      <c r="N317" s="69"/>
      <c r="O317" s="69"/>
      <c r="P317" s="69"/>
      <c r="Q317" s="69"/>
      <c r="R317" s="69"/>
      <c r="S317" s="69"/>
      <c r="T317" s="69"/>
      <c r="U317" s="69"/>
      <c r="V317" s="69"/>
      <c r="W317" s="81"/>
      <c r="X317" s="69"/>
      <c r="Y317" s="69"/>
      <c r="Z317" s="69"/>
      <c r="AA317" s="69"/>
      <c r="AB317" s="69"/>
    </row>
    <row r="318" spans="1:28">
      <c r="A318" s="67"/>
      <c r="B318" s="67"/>
      <c r="C318" s="68"/>
      <c r="F318" s="69"/>
      <c r="G318" s="69"/>
      <c r="H318" s="69"/>
      <c r="I318" s="69"/>
      <c r="J318" s="69"/>
      <c r="K318" s="69"/>
      <c r="L318" s="69"/>
      <c r="M318" s="69"/>
      <c r="N318" s="69"/>
      <c r="O318" s="69"/>
      <c r="P318" s="69"/>
      <c r="Q318" s="69"/>
      <c r="R318" s="69"/>
      <c r="S318" s="69"/>
      <c r="T318" s="69"/>
      <c r="U318" s="69"/>
      <c r="V318" s="69"/>
      <c r="W318" s="81"/>
      <c r="X318" s="69"/>
      <c r="Y318" s="69"/>
      <c r="Z318" s="69"/>
      <c r="AA318" s="69"/>
      <c r="AB318" s="69"/>
    </row>
    <row r="319" spans="1:28">
      <c r="A319" s="67"/>
      <c r="B319" s="67"/>
      <c r="C319" s="68"/>
      <c r="F319" s="69"/>
      <c r="G319" s="69"/>
      <c r="H319" s="69"/>
      <c r="I319" s="69"/>
      <c r="J319" s="69"/>
      <c r="K319" s="69"/>
      <c r="L319" s="69"/>
      <c r="M319" s="69"/>
      <c r="N319" s="69"/>
      <c r="O319" s="69"/>
      <c r="P319" s="69"/>
      <c r="Q319" s="69"/>
      <c r="R319" s="69"/>
      <c r="S319" s="69"/>
      <c r="T319" s="69"/>
      <c r="U319" s="69"/>
      <c r="V319" s="69"/>
      <c r="W319" s="81"/>
      <c r="X319" s="69"/>
      <c r="Y319" s="69"/>
      <c r="Z319" s="69"/>
      <c r="AA319" s="69"/>
      <c r="AB319" s="69"/>
    </row>
    <row r="320" spans="1:28">
      <c r="A320" s="67"/>
      <c r="B320" s="67"/>
      <c r="C320" s="68"/>
      <c r="F320" s="69"/>
      <c r="G320" s="69"/>
      <c r="H320" s="69"/>
      <c r="I320" s="69"/>
      <c r="J320" s="69"/>
      <c r="K320" s="69"/>
      <c r="L320" s="69"/>
      <c r="M320" s="69"/>
      <c r="N320" s="69"/>
      <c r="O320" s="69"/>
      <c r="P320" s="69"/>
      <c r="Q320" s="69"/>
      <c r="R320" s="69"/>
      <c r="S320" s="69"/>
      <c r="T320" s="69"/>
      <c r="U320" s="69"/>
      <c r="V320" s="69"/>
      <c r="W320" s="81"/>
      <c r="X320" s="69"/>
      <c r="Y320" s="69"/>
      <c r="Z320" s="69"/>
      <c r="AA320" s="69"/>
      <c r="AB320" s="69"/>
    </row>
    <row r="321" spans="1:28">
      <c r="A321" s="67"/>
      <c r="B321" s="67"/>
      <c r="C321" s="68"/>
      <c r="F321" s="69"/>
      <c r="G321" s="69"/>
      <c r="H321" s="69"/>
      <c r="I321" s="69"/>
      <c r="J321" s="69"/>
      <c r="K321" s="69"/>
      <c r="L321" s="69"/>
      <c r="M321" s="69"/>
      <c r="N321" s="69"/>
      <c r="O321" s="69"/>
      <c r="P321" s="69"/>
      <c r="Q321" s="69"/>
      <c r="R321" s="69"/>
      <c r="S321" s="69"/>
      <c r="T321" s="69"/>
      <c r="U321" s="69"/>
      <c r="V321" s="69"/>
      <c r="W321" s="81"/>
      <c r="X321" s="69"/>
      <c r="Y321" s="69"/>
      <c r="Z321" s="69"/>
      <c r="AA321" s="69"/>
      <c r="AB321" s="69"/>
    </row>
    <row r="322" spans="1:28">
      <c r="A322" s="67"/>
      <c r="B322" s="67"/>
      <c r="C322" s="68"/>
      <c r="F322" s="69"/>
      <c r="G322" s="69"/>
      <c r="H322" s="69"/>
      <c r="I322" s="69"/>
      <c r="J322" s="69"/>
      <c r="K322" s="69"/>
      <c r="L322" s="69"/>
      <c r="M322" s="69"/>
      <c r="N322" s="69"/>
      <c r="O322" s="69"/>
      <c r="P322" s="69"/>
      <c r="Q322" s="69"/>
      <c r="R322" s="69"/>
      <c r="S322" s="69"/>
      <c r="T322" s="69"/>
      <c r="U322" s="69"/>
      <c r="V322" s="69"/>
      <c r="W322" s="81"/>
      <c r="X322" s="69"/>
      <c r="Y322" s="69"/>
      <c r="Z322" s="69"/>
      <c r="AA322" s="69"/>
      <c r="AB322" s="69"/>
    </row>
    <row r="323" spans="1:28">
      <c r="A323" s="67"/>
      <c r="B323" s="67"/>
      <c r="C323" s="68"/>
      <c r="F323" s="69"/>
      <c r="G323" s="69"/>
      <c r="H323" s="69"/>
      <c r="I323" s="69"/>
      <c r="J323" s="69"/>
      <c r="K323" s="69"/>
      <c r="L323" s="69"/>
      <c r="M323" s="69"/>
      <c r="N323" s="69"/>
      <c r="O323" s="69"/>
      <c r="P323" s="69"/>
      <c r="Q323" s="69"/>
      <c r="R323" s="69"/>
      <c r="S323" s="69"/>
      <c r="T323" s="69"/>
      <c r="U323" s="69"/>
      <c r="V323" s="69"/>
      <c r="W323" s="81"/>
      <c r="X323" s="69"/>
      <c r="Y323" s="69"/>
      <c r="Z323" s="69"/>
      <c r="AA323" s="69"/>
      <c r="AB323" s="69"/>
    </row>
    <row r="324" spans="1:28">
      <c r="A324" s="67"/>
      <c r="B324" s="67"/>
      <c r="C324" s="68"/>
      <c r="F324" s="69"/>
      <c r="G324" s="69"/>
      <c r="H324" s="69"/>
      <c r="I324" s="69"/>
      <c r="J324" s="69"/>
      <c r="K324" s="69"/>
      <c r="L324" s="69"/>
      <c r="M324" s="69"/>
      <c r="N324" s="69"/>
      <c r="O324" s="69"/>
      <c r="P324" s="69"/>
      <c r="Q324" s="69"/>
      <c r="R324" s="69"/>
      <c r="S324" s="69"/>
      <c r="T324" s="69"/>
      <c r="U324" s="69"/>
      <c r="V324" s="69"/>
      <c r="W324" s="81"/>
      <c r="X324" s="69"/>
      <c r="Y324" s="69"/>
      <c r="Z324" s="69"/>
      <c r="AA324" s="69"/>
      <c r="AB324" s="69"/>
    </row>
    <row r="325" spans="1:28">
      <c r="A325" s="67"/>
      <c r="B325" s="67"/>
      <c r="C325" s="68"/>
      <c r="F325" s="69"/>
      <c r="G325" s="69"/>
      <c r="H325" s="69"/>
      <c r="I325" s="69"/>
      <c r="J325" s="69"/>
      <c r="K325" s="69"/>
      <c r="L325" s="69"/>
      <c r="M325" s="69"/>
      <c r="N325" s="69"/>
      <c r="O325" s="69"/>
      <c r="P325" s="69"/>
      <c r="Q325" s="69"/>
      <c r="R325" s="69"/>
      <c r="S325" s="69"/>
      <c r="T325" s="69"/>
      <c r="U325" s="69"/>
      <c r="V325" s="69"/>
      <c r="W325" s="81"/>
      <c r="X325" s="69"/>
      <c r="Y325" s="69"/>
      <c r="Z325" s="69"/>
      <c r="AA325" s="69"/>
      <c r="AB325" s="69"/>
    </row>
    <row r="326" spans="1:28">
      <c r="A326" s="67"/>
      <c r="B326" s="67"/>
      <c r="C326" s="68"/>
      <c r="F326" s="69"/>
      <c r="G326" s="69"/>
      <c r="H326" s="69"/>
      <c r="I326" s="69"/>
      <c r="J326" s="69"/>
      <c r="K326" s="69"/>
      <c r="L326" s="69"/>
      <c r="M326" s="69"/>
      <c r="N326" s="69"/>
      <c r="O326" s="69"/>
      <c r="P326" s="69"/>
      <c r="Q326" s="69"/>
      <c r="R326" s="69"/>
      <c r="S326" s="69"/>
      <c r="T326" s="69"/>
      <c r="U326" s="69"/>
      <c r="V326" s="69"/>
      <c r="W326" s="81"/>
      <c r="X326" s="69"/>
      <c r="Y326" s="69"/>
      <c r="Z326" s="69"/>
      <c r="AA326" s="69"/>
      <c r="AB326" s="69"/>
    </row>
    <row r="327" spans="1:28">
      <c r="A327" s="67"/>
      <c r="B327" s="67"/>
      <c r="C327" s="68"/>
      <c r="F327" s="69"/>
      <c r="G327" s="69"/>
      <c r="H327" s="69"/>
      <c r="I327" s="69"/>
      <c r="J327" s="69"/>
      <c r="K327" s="69"/>
      <c r="L327" s="69"/>
      <c r="M327" s="69"/>
      <c r="N327" s="69"/>
      <c r="O327" s="69"/>
      <c r="P327" s="69"/>
      <c r="Q327" s="69"/>
      <c r="R327" s="69"/>
      <c r="S327" s="69"/>
      <c r="T327" s="69"/>
      <c r="U327" s="69"/>
      <c r="V327" s="69"/>
      <c r="W327" s="81"/>
      <c r="X327" s="69"/>
      <c r="Y327" s="69"/>
      <c r="Z327" s="69"/>
      <c r="AA327" s="69"/>
      <c r="AB327" s="69"/>
    </row>
    <row r="328" spans="1:28">
      <c r="A328" s="67"/>
      <c r="B328" s="67"/>
      <c r="C328" s="68"/>
      <c r="F328" s="69"/>
      <c r="G328" s="69"/>
      <c r="H328" s="69"/>
      <c r="I328" s="69"/>
      <c r="J328" s="69"/>
      <c r="K328" s="69"/>
      <c r="L328" s="69"/>
      <c r="M328" s="69"/>
      <c r="N328" s="69"/>
      <c r="O328" s="69"/>
      <c r="P328" s="69"/>
      <c r="Q328" s="69"/>
      <c r="R328" s="69"/>
      <c r="S328" s="69"/>
      <c r="T328" s="69"/>
      <c r="U328" s="69"/>
      <c r="V328" s="69"/>
      <c r="W328" s="81"/>
      <c r="X328" s="69"/>
      <c r="Y328" s="69"/>
      <c r="Z328" s="69"/>
      <c r="AA328" s="69"/>
      <c r="AB328" s="69"/>
    </row>
    <row r="329" spans="1:28">
      <c r="A329" s="67"/>
      <c r="B329" s="67"/>
      <c r="C329" s="68"/>
      <c r="F329" s="69"/>
      <c r="G329" s="69"/>
      <c r="H329" s="69"/>
      <c r="I329" s="69"/>
      <c r="J329" s="69"/>
      <c r="K329" s="69"/>
      <c r="L329" s="69"/>
      <c r="M329" s="69"/>
      <c r="N329" s="69"/>
      <c r="O329" s="69"/>
      <c r="P329" s="69"/>
      <c r="Q329" s="69"/>
      <c r="R329" s="69"/>
      <c r="S329" s="69"/>
      <c r="T329" s="69"/>
      <c r="U329" s="69"/>
      <c r="V329" s="69"/>
      <c r="W329" s="81"/>
      <c r="X329" s="69"/>
      <c r="Y329" s="69"/>
      <c r="Z329" s="69"/>
      <c r="AA329" s="69"/>
      <c r="AB329" s="69"/>
    </row>
    <row r="330" spans="1:28">
      <c r="A330" s="67"/>
      <c r="B330" s="67"/>
      <c r="C330" s="68"/>
      <c r="F330" s="69"/>
      <c r="G330" s="69"/>
      <c r="H330" s="69"/>
      <c r="I330" s="69"/>
      <c r="J330" s="69"/>
      <c r="K330" s="69"/>
      <c r="L330" s="69"/>
      <c r="M330" s="69"/>
      <c r="N330" s="69"/>
      <c r="O330" s="69"/>
      <c r="P330" s="69"/>
      <c r="Q330" s="69"/>
      <c r="R330" s="69"/>
      <c r="S330" s="69"/>
      <c r="T330" s="69"/>
      <c r="U330" s="69"/>
      <c r="V330" s="69"/>
      <c r="W330" s="81"/>
      <c r="X330" s="69"/>
      <c r="Y330" s="69"/>
      <c r="Z330" s="69"/>
      <c r="AA330" s="69"/>
      <c r="AB330" s="69"/>
    </row>
    <row r="331" spans="1:28">
      <c r="A331" s="67"/>
      <c r="B331" s="67"/>
      <c r="C331" s="68"/>
      <c r="F331" s="69"/>
      <c r="G331" s="69"/>
      <c r="H331" s="69"/>
      <c r="I331" s="69"/>
      <c r="J331" s="69"/>
      <c r="K331" s="69"/>
      <c r="L331" s="69"/>
      <c r="M331" s="69"/>
      <c r="N331" s="69"/>
      <c r="O331" s="69"/>
      <c r="P331" s="69"/>
      <c r="Q331" s="69"/>
      <c r="R331" s="69"/>
      <c r="S331" s="69"/>
      <c r="T331" s="69"/>
      <c r="U331" s="69"/>
      <c r="V331" s="69"/>
      <c r="W331" s="81"/>
      <c r="X331" s="69"/>
      <c r="Y331" s="69"/>
      <c r="Z331" s="69"/>
      <c r="AA331" s="69"/>
      <c r="AB331" s="69"/>
    </row>
    <row r="332" spans="1:28">
      <c r="A332" s="67"/>
      <c r="B332" s="67"/>
      <c r="C332" s="68"/>
      <c r="F332" s="69"/>
      <c r="G332" s="69"/>
      <c r="H332" s="69"/>
      <c r="I332" s="69"/>
      <c r="J332" s="69"/>
      <c r="K332" s="69"/>
      <c r="L332" s="69"/>
      <c r="M332" s="69"/>
      <c r="N332" s="69"/>
      <c r="O332" s="69"/>
      <c r="P332" s="69"/>
      <c r="Q332" s="69"/>
      <c r="R332" s="69"/>
      <c r="S332" s="69"/>
      <c r="T332" s="69"/>
      <c r="U332" s="69"/>
      <c r="V332" s="69"/>
      <c r="W332" s="81"/>
      <c r="X332" s="69"/>
      <c r="Y332" s="69"/>
      <c r="Z332" s="69"/>
      <c r="AA332" s="69"/>
      <c r="AB332" s="69"/>
    </row>
    <row r="333" spans="1:28">
      <c r="A333" s="67"/>
      <c r="B333" s="67"/>
      <c r="C333" s="68"/>
      <c r="F333" s="69"/>
      <c r="G333" s="69"/>
      <c r="H333" s="69"/>
      <c r="I333" s="69"/>
      <c r="J333" s="69"/>
      <c r="K333" s="69"/>
      <c r="L333" s="69"/>
      <c r="M333" s="69"/>
      <c r="N333" s="69"/>
      <c r="O333" s="69"/>
      <c r="P333" s="69"/>
      <c r="Q333" s="69"/>
      <c r="R333" s="69"/>
      <c r="S333" s="69"/>
      <c r="T333" s="69"/>
      <c r="U333" s="69"/>
      <c r="V333" s="69"/>
      <c r="W333" s="81"/>
      <c r="X333" s="69"/>
      <c r="Y333" s="69"/>
      <c r="Z333" s="69"/>
      <c r="AA333" s="69"/>
      <c r="AB333" s="69"/>
    </row>
    <row r="334" spans="1:28">
      <c r="A334" s="67"/>
      <c r="B334" s="67"/>
      <c r="C334" s="68"/>
      <c r="F334" s="69"/>
      <c r="G334" s="69"/>
      <c r="H334" s="69"/>
      <c r="I334" s="69"/>
      <c r="J334" s="69"/>
      <c r="K334" s="69"/>
      <c r="L334" s="69"/>
      <c r="M334" s="69"/>
      <c r="N334" s="69"/>
      <c r="O334" s="69"/>
      <c r="P334" s="69"/>
      <c r="Q334" s="69"/>
      <c r="R334" s="69"/>
      <c r="S334" s="69"/>
      <c r="T334" s="69"/>
      <c r="U334" s="69"/>
      <c r="V334" s="69"/>
      <c r="W334" s="81"/>
      <c r="X334" s="69"/>
      <c r="Y334" s="69"/>
      <c r="Z334" s="69"/>
      <c r="AA334" s="69"/>
      <c r="AB334" s="69"/>
    </row>
    <row r="335" spans="1:28">
      <c r="A335" s="67"/>
      <c r="B335" s="67"/>
      <c r="C335" s="68"/>
      <c r="F335" s="69"/>
      <c r="G335" s="69"/>
      <c r="H335" s="69"/>
      <c r="I335" s="69"/>
      <c r="J335" s="69"/>
      <c r="K335" s="69"/>
      <c r="L335" s="69"/>
      <c r="M335" s="69"/>
      <c r="N335" s="69"/>
      <c r="O335" s="69"/>
      <c r="P335" s="69"/>
      <c r="Q335" s="69"/>
      <c r="R335" s="69"/>
      <c r="S335" s="69"/>
      <c r="T335" s="69"/>
      <c r="U335" s="69"/>
      <c r="V335" s="69"/>
      <c r="W335" s="81"/>
      <c r="X335" s="69"/>
      <c r="Y335" s="69"/>
      <c r="Z335" s="69"/>
      <c r="AA335" s="69"/>
      <c r="AB335" s="69"/>
    </row>
    <row r="336" spans="1:28">
      <c r="A336" s="67"/>
      <c r="B336" s="67"/>
      <c r="C336" s="68"/>
      <c r="F336" s="69"/>
      <c r="G336" s="69"/>
      <c r="H336" s="69"/>
      <c r="I336" s="69"/>
      <c r="J336" s="69"/>
      <c r="K336" s="69"/>
      <c r="L336" s="69"/>
      <c r="M336" s="69"/>
      <c r="N336" s="69"/>
      <c r="O336" s="69"/>
      <c r="P336" s="69"/>
      <c r="Q336" s="69"/>
      <c r="R336" s="69"/>
      <c r="S336" s="69"/>
      <c r="T336" s="69"/>
      <c r="U336" s="69"/>
      <c r="V336" s="69"/>
      <c r="W336" s="81"/>
      <c r="X336" s="69"/>
      <c r="Y336" s="69"/>
      <c r="Z336" s="69"/>
      <c r="AA336" s="69"/>
      <c r="AB336" s="69"/>
    </row>
    <row r="337" spans="1:28">
      <c r="A337" s="67"/>
      <c r="B337" s="67"/>
      <c r="C337" s="68"/>
      <c r="F337" s="69"/>
      <c r="G337" s="69"/>
      <c r="H337" s="69"/>
      <c r="I337" s="69"/>
      <c r="J337" s="69"/>
      <c r="K337" s="69"/>
      <c r="L337" s="69"/>
      <c r="M337" s="69"/>
      <c r="N337" s="69"/>
      <c r="O337" s="69"/>
      <c r="P337" s="69"/>
      <c r="Q337" s="69"/>
      <c r="R337" s="69"/>
      <c r="S337" s="69"/>
      <c r="T337" s="69"/>
      <c r="U337" s="69"/>
      <c r="V337" s="69"/>
      <c r="W337" s="81"/>
      <c r="X337" s="69"/>
      <c r="Y337" s="69"/>
      <c r="Z337" s="69"/>
      <c r="AA337" s="69"/>
      <c r="AB337" s="69"/>
    </row>
    <row r="338" spans="1:28">
      <c r="A338" s="67"/>
      <c r="B338" s="67"/>
      <c r="C338" s="68"/>
      <c r="F338" s="69"/>
      <c r="G338" s="69"/>
      <c r="H338" s="69"/>
      <c r="I338" s="69"/>
      <c r="J338" s="69"/>
      <c r="K338" s="69"/>
      <c r="L338" s="69"/>
      <c r="M338" s="69"/>
      <c r="N338" s="69"/>
      <c r="O338" s="69"/>
      <c r="P338" s="69"/>
      <c r="Q338" s="69"/>
      <c r="R338" s="69"/>
      <c r="S338" s="69"/>
      <c r="T338" s="69"/>
      <c r="U338" s="69"/>
      <c r="V338" s="69"/>
      <c r="W338" s="81"/>
      <c r="X338" s="69"/>
      <c r="Y338" s="69"/>
      <c r="Z338" s="69"/>
      <c r="AA338" s="69"/>
      <c r="AB338" s="69"/>
    </row>
    <row r="339" spans="1:28">
      <c r="A339" s="67"/>
      <c r="B339" s="67"/>
      <c r="C339" s="68"/>
      <c r="F339" s="69"/>
      <c r="G339" s="69"/>
      <c r="H339" s="69"/>
      <c r="I339" s="69"/>
      <c r="J339" s="69"/>
      <c r="K339" s="69"/>
      <c r="L339" s="69"/>
      <c r="M339" s="69"/>
      <c r="N339" s="69"/>
      <c r="O339" s="69"/>
      <c r="P339" s="69"/>
      <c r="Q339" s="69"/>
      <c r="R339" s="69"/>
      <c r="S339" s="69"/>
      <c r="T339" s="69"/>
      <c r="U339" s="69"/>
      <c r="V339" s="69"/>
      <c r="W339" s="81"/>
      <c r="X339" s="69"/>
      <c r="Y339" s="69"/>
      <c r="Z339" s="69"/>
      <c r="AA339" s="69"/>
      <c r="AB339" s="69"/>
    </row>
    <row r="340" spans="1:28">
      <c r="A340" s="67"/>
      <c r="B340" s="67"/>
      <c r="C340" s="68"/>
      <c r="F340" s="69"/>
      <c r="G340" s="69"/>
      <c r="H340" s="69"/>
      <c r="I340" s="69"/>
      <c r="J340" s="69"/>
      <c r="K340" s="69"/>
      <c r="L340" s="69"/>
      <c r="M340" s="69"/>
      <c r="N340" s="69"/>
      <c r="O340" s="69"/>
      <c r="P340" s="69"/>
      <c r="Q340" s="69"/>
      <c r="R340" s="69"/>
      <c r="S340" s="69"/>
      <c r="T340" s="69"/>
      <c r="U340" s="69"/>
      <c r="V340" s="69"/>
      <c r="W340" s="81"/>
      <c r="X340" s="69"/>
      <c r="Y340" s="69"/>
      <c r="Z340" s="69"/>
      <c r="AA340" s="69"/>
      <c r="AB340" s="69"/>
    </row>
    <row r="341" spans="1:28">
      <c r="A341" s="67"/>
      <c r="B341" s="67"/>
      <c r="C341" s="68"/>
      <c r="F341" s="69"/>
      <c r="G341" s="69"/>
      <c r="H341" s="69"/>
      <c r="I341" s="69"/>
      <c r="J341" s="69"/>
      <c r="K341" s="69"/>
      <c r="L341" s="69"/>
      <c r="M341" s="69"/>
      <c r="N341" s="69"/>
      <c r="O341" s="69"/>
      <c r="P341" s="69"/>
      <c r="Q341" s="69"/>
      <c r="R341" s="69"/>
      <c r="S341" s="69"/>
      <c r="T341" s="69"/>
      <c r="U341" s="69"/>
      <c r="V341" s="69"/>
      <c r="W341" s="81"/>
      <c r="X341" s="69"/>
      <c r="Y341" s="69"/>
      <c r="Z341" s="69"/>
      <c r="AA341" s="69"/>
      <c r="AB341" s="69"/>
    </row>
    <row r="342" spans="1:28">
      <c r="A342" s="67"/>
      <c r="B342" s="67"/>
      <c r="C342" s="68"/>
      <c r="F342" s="69"/>
      <c r="G342" s="69"/>
      <c r="H342" s="69"/>
      <c r="I342" s="69"/>
      <c r="J342" s="69"/>
      <c r="K342" s="69"/>
      <c r="L342" s="69"/>
      <c r="M342" s="69"/>
      <c r="N342" s="69"/>
      <c r="O342" s="69"/>
      <c r="P342" s="69"/>
      <c r="Q342" s="69"/>
      <c r="R342" s="69"/>
      <c r="S342" s="69"/>
      <c r="T342" s="69"/>
      <c r="U342" s="69"/>
      <c r="V342" s="69"/>
      <c r="W342" s="81"/>
      <c r="X342" s="69"/>
      <c r="Y342" s="69"/>
      <c r="Z342" s="69"/>
      <c r="AA342" s="69"/>
      <c r="AB342" s="69"/>
    </row>
    <row r="343" spans="1:28">
      <c r="A343" s="67"/>
      <c r="B343" s="67"/>
      <c r="C343" s="68"/>
      <c r="F343" s="69"/>
      <c r="G343" s="69"/>
      <c r="H343" s="69"/>
      <c r="I343" s="69"/>
      <c r="J343" s="69"/>
      <c r="K343" s="69"/>
      <c r="L343" s="69"/>
      <c r="M343" s="69"/>
      <c r="N343" s="69"/>
      <c r="O343" s="69"/>
      <c r="P343" s="69"/>
      <c r="Q343" s="69"/>
      <c r="R343" s="69"/>
      <c r="S343" s="69"/>
      <c r="T343" s="69"/>
      <c r="U343" s="69"/>
      <c r="V343" s="69"/>
      <c r="W343" s="81"/>
      <c r="X343" s="69"/>
      <c r="Y343" s="69"/>
      <c r="Z343" s="69"/>
      <c r="AA343" s="69"/>
      <c r="AB343" s="69"/>
    </row>
    <row r="344" spans="1:28">
      <c r="A344" s="67"/>
      <c r="B344" s="67"/>
      <c r="C344" s="68"/>
      <c r="F344" s="69"/>
      <c r="G344" s="69"/>
      <c r="H344" s="69"/>
      <c r="I344" s="69"/>
      <c r="J344" s="69"/>
      <c r="K344" s="69"/>
      <c r="L344" s="69"/>
      <c r="M344" s="69"/>
      <c r="N344" s="69"/>
      <c r="O344" s="69"/>
      <c r="P344" s="69"/>
      <c r="Q344" s="69"/>
      <c r="R344" s="69"/>
      <c r="S344" s="69"/>
      <c r="T344" s="69"/>
      <c r="U344" s="69"/>
      <c r="V344" s="69"/>
      <c r="W344" s="81"/>
      <c r="X344" s="69"/>
      <c r="Y344" s="69"/>
      <c r="Z344" s="69"/>
      <c r="AA344" s="69"/>
      <c r="AB344" s="69"/>
    </row>
    <row r="345" spans="1:28">
      <c r="A345" s="67"/>
      <c r="B345" s="67"/>
      <c r="C345" s="68"/>
      <c r="F345" s="69"/>
      <c r="G345" s="69"/>
      <c r="H345" s="69"/>
      <c r="I345" s="69"/>
      <c r="J345" s="69"/>
      <c r="K345" s="69"/>
      <c r="L345" s="69"/>
      <c r="M345" s="69"/>
      <c r="N345" s="69"/>
      <c r="O345" s="69"/>
      <c r="P345" s="69"/>
      <c r="Q345" s="69"/>
      <c r="R345" s="69"/>
      <c r="S345" s="69"/>
      <c r="T345" s="69"/>
      <c r="U345" s="69"/>
      <c r="V345" s="69"/>
      <c r="W345" s="81"/>
      <c r="X345" s="69"/>
      <c r="Y345" s="69"/>
      <c r="Z345" s="69"/>
      <c r="AA345" s="69"/>
      <c r="AB345" s="69"/>
    </row>
    <row r="346" spans="1:28">
      <c r="A346" s="67"/>
      <c r="B346" s="67"/>
      <c r="C346" s="68"/>
      <c r="F346" s="69"/>
      <c r="G346" s="69"/>
      <c r="H346" s="69"/>
      <c r="I346" s="69"/>
      <c r="J346" s="69"/>
      <c r="K346" s="69"/>
      <c r="L346" s="69"/>
      <c r="M346" s="69"/>
      <c r="N346" s="69"/>
      <c r="O346" s="69"/>
      <c r="P346" s="69"/>
      <c r="Q346" s="69"/>
      <c r="R346" s="69"/>
      <c r="S346" s="69"/>
      <c r="T346" s="69"/>
      <c r="U346" s="69"/>
      <c r="V346" s="69"/>
      <c r="W346" s="81"/>
      <c r="X346" s="69"/>
      <c r="Y346" s="69"/>
      <c r="Z346" s="69"/>
      <c r="AA346" s="69"/>
      <c r="AB346" s="69"/>
    </row>
    <row r="347" spans="1:28">
      <c r="A347" s="67"/>
      <c r="B347" s="67"/>
      <c r="C347" s="68"/>
      <c r="F347" s="69"/>
      <c r="G347" s="69"/>
      <c r="H347" s="69"/>
      <c r="I347" s="69"/>
      <c r="J347" s="69"/>
      <c r="K347" s="69"/>
      <c r="L347" s="69"/>
      <c r="M347" s="69"/>
      <c r="N347" s="69"/>
      <c r="O347" s="69"/>
      <c r="P347" s="69"/>
      <c r="Q347" s="69"/>
      <c r="R347" s="69"/>
      <c r="S347" s="69"/>
      <c r="T347" s="69"/>
      <c r="U347" s="69"/>
      <c r="V347" s="69"/>
      <c r="W347" s="81"/>
      <c r="X347" s="69"/>
      <c r="Y347" s="69"/>
      <c r="Z347" s="69"/>
      <c r="AA347" s="69"/>
      <c r="AB347" s="69"/>
    </row>
    <row r="348" spans="1:28">
      <c r="A348" s="67"/>
      <c r="B348" s="67"/>
      <c r="C348" s="68"/>
      <c r="F348" s="69"/>
      <c r="G348" s="69"/>
      <c r="H348" s="69"/>
      <c r="I348" s="69"/>
      <c r="J348" s="69"/>
      <c r="K348" s="69"/>
      <c r="L348" s="69"/>
      <c r="M348" s="69"/>
      <c r="N348" s="69"/>
      <c r="O348" s="69"/>
      <c r="P348" s="69"/>
      <c r="Q348" s="69"/>
      <c r="R348" s="69"/>
      <c r="S348" s="69"/>
      <c r="T348" s="69"/>
      <c r="U348" s="69"/>
      <c r="V348" s="69"/>
      <c r="W348" s="81"/>
      <c r="X348" s="69"/>
      <c r="Y348" s="69"/>
      <c r="Z348" s="69"/>
      <c r="AA348" s="69"/>
      <c r="AB348" s="69"/>
    </row>
    <row r="349" spans="1:28">
      <c r="A349" s="67"/>
      <c r="B349" s="67"/>
      <c r="C349" s="68"/>
      <c r="F349" s="69"/>
      <c r="G349" s="69"/>
      <c r="H349" s="69"/>
      <c r="I349" s="69"/>
      <c r="J349" s="69"/>
      <c r="K349" s="69"/>
      <c r="L349" s="69"/>
      <c r="M349" s="69"/>
      <c r="N349" s="69"/>
      <c r="O349" s="69"/>
      <c r="P349" s="69"/>
      <c r="Q349" s="69"/>
      <c r="R349" s="69"/>
      <c r="S349" s="69"/>
      <c r="T349" s="69"/>
      <c r="U349" s="69"/>
      <c r="V349" s="69"/>
      <c r="W349" s="81"/>
      <c r="X349" s="69"/>
      <c r="Y349" s="69"/>
      <c r="Z349" s="69"/>
      <c r="AA349" s="69"/>
      <c r="AB349" s="69"/>
    </row>
    <row r="350" spans="1:28">
      <c r="A350" s="67"/>
      <c r="B350" s="67"/>
      <c r="C350" s="68"/>
      <c r="F350" s="69"/>
      <c r="G350" s="69"/>
      <c r="H350" s="69"/>
      <c r="I350" s="69"/>
      <c r="J350" s="69"/>
      <c r="K350" s="69"/>
      <c r="L350" s="69"/>
      <c r="M350" s="69"/>
      <c r="N350" s="69"/>
      <c r="O350" s="69"/>
      <c r="P350" s="69"/>
      <c r="Q350" s="69"/>
      <c r="R350" s="69"/>
      <c r="S350" s="69"/>
      <c r="T350" s="69"/>
      <c r="U350" s="69"/>
      <c r="V350" s="69"/>
      <c r="W350" s="81"/>
      <c r="X350" s="69"/>
      <c r="Y350" s="69"/>
      <c r="Z350" s="69"/>
      <c r="AA350" s="69"/>
      <c r="AB350" s="69"/>
    </row>
    <row r="351" spans="1:28">
      <c r="A351" s="67"/>
      <c r="B351" s="67"/>
      <c r="C351" s="68"/>
      <c r="F351" s="69"/>
      <c r="G351" s="69"/>
      <c r="H351" s="69"/>
      <c r="I351" s="69"/>
      <c r="J351" s="69"/>
      <c r="K351" s="69"/>
      <c r="L351" s="69"/>
      <c r="M351" s="69"/>
      <c r="N351" s="69"/>
      <c r="O351" s="69"/>
      <c r="P351" s="69"/>
      <c r="Q351" s="69"/>
      <c r="R351" s="69"/>
      <c r="S351" s="69"/>
      <c r="T351" s="69"/>
      <c r="U351" s="69"/>
      <c r="V351" s="69"/>
      <c r="W351" s="81"/>
      <c r="X351" s="69"/>
      <c r="Y351" s="69"/>
      <c r="Z351" s="69"/>
      <c r="AA351" s="69"/>
      <c r="AB351" s="69"/>
    </row>
    <row r="352" spans="1:28">
      <c r="A352" s="67"/>
      <c r="B352" s="67"/>
      <c r="C352" s="68"/>
      <c r="F352" s="69"/>
      <c r="G352" s="69"/>
      <c r="H352" s="69"/>
      <c r="I352" s="69"/>
      <c r="J352" s="69"/>
      <c r="K352" s="69"/>
      <c r="L352" s="69"/>
      <c r="M352" s="69"/>
      <c r="N352" s="69"/>
      <c r="O352" s="69"/>
      <c r="P352" s="69"/>
      <c r="Q352" s="69"/>
      <c r="R352" s="69"/>
      <c r="S352" s="69"/>
      <c r="T352" s="69"/>
      <c r="U352" s="69"/>
      <c r="V352" s="69"/>
      <c r="W352" s="81"/>
      <c r="X352" s="69"/>
      <c r="Y352" s="69"/>
      <c r="Z352" s="69"/>
      <c r="AA352" s="69"/>
      <c r="AB352" s="69"/>
    </row>
    <row r="353" spans="1:28">
      <c r="A353" s="67"/>
      <c r="B353" s="67"/>
      <c r="C353" s="68"/>
      <c r="F353" s="69"/>
      <c r="G353" s="69"/>
      <c r="H353" s="69"/>
      <c r="I353" s="69"/>
      <c r="J353" s="69"/>
      <c r="K353" s="69"/>
      <c r="L353" s="69"/>
      <c r="M353" s="69"/>
      <c r="N353" s="69"/>
      <c r="O353" s="69"/>
      <c r="P353" s="69"/>
      <c r="Q353" s="69"/>
      <c r="R353" s="69"/>
      <c r="S353" s="69"/>
      <c r="T353" s="69"/>
      <c r="U353" s="69"/>
      <c r="V353" s="69"/>
      <c r="W353" s="81"/>
      <c r="X353" s="69"/>
      <c r="Y353" s="69"/>
      <c r="Z353" s="69"/>
      <c r="AA353" s="69"/>
      <c r="AB353" s="69"/>
    </row>
    <row r="354" spans="1:28">
      <c r="A354" s="67"/>
      <c r="B354" s="67"/>
      <c r="C354" s="68"/>
      <c r="F354" s="69"/>
      <c r="G354" s="69"/>
      <c r="H354" s="69"/>
      <c r="I354" s="69"/>
      <c r="J354" s="69"/>
      <c r="K354" s="69"/>
      <c r="L354" s="69"/>
      <c r="M354" s="69"/>
      <c r="N354" s="69"/>
      <c r="O354" s="69"/>
      <c r="P354" s="69"/>
      <c r="Q354" s="69"/>
      <c r="R354" s="69"/>
      <c r="S354" s="69"/>
      <c r="T354" s="69"/>
      <c r="U354" s="69"/>
      <c r="V354" s="69"/>
      <c r="W354" s="81"/>
      <c r="X354" s="69"/>
      <c r="Y354" s="69"/>
      <c r="Z354" s="69"/>
      <c r="AA354" s="69"/>
      <c r="AB354" s="69"/>
    </row>
    <row r="355" spans="1:28">
      <c r="A355" s="67"/>
      <c r="B355" s="67"/>
      <c r="C355" s="68"/>
      <c r="F355" s="69"/>
      <c r="G355" s="69"/>
      <c r="H355" s="69"/>
      <c r="I355" s="69"/>
      <c r="J355" s="69"/>
      <c r="K355" s="69"/>
      <c r="L355" s="69"/>
      <c r="M355" s="69"/>
      <c r="N355" s="69"/>
      <c r="O355" s="69"/>
      <c r="P355" s="69"/>
      <c r="Q355" s="69"/>
      <c r="R355" s="69"/>
      <c r="S355" s="69"/>
      <c r="T355" s="69"/>
      <c r="U355" s="69"/>
      <c r="V355" s="69"/>
      <c r="W355" s="81"/>
      <c r="X355" s="69"/>
      <c r="Y355" s="69"/>
      <c r="Z355" s="69"/>
      <c r="AA355" s="69"/>
      <c r="AB355" s="69"/>
    </row>
    <row r="356" spans="1:28">
      <c r="A356" s="67"/>
      <c r="B356" s="67"/>
      <c r="C356" s="68"/>
      <c r="F356" s="69"/>
      <c r="G356" s="69"/>
      <c r="H356" s="69"/>
      <c r="I356" s="69"/>
      <c r="J356" s="69"/>
      <c r="K356" s="69"/>
      <c r="L356" s="69"/>
      <c r="M356" s="69"/>
      <c r="N356" s="69"/>
      <c r="O356" s="69"/>
      <c r="P356" s="69"/>
      <c r="Q356" s="69"/>
      <c r="R356" s="69"/>
      <c r="S356" s="69"/>
      <c r="T356" s="69"/>
      <c r="U356" s="69"/>
      <c r="V356" s="69"/>
      <c r="W356" s="81"/>
      <c r="X356" s="69"/>
      <c r="Y356" s="69"/>
      <c r="Z356" s="69"/>
      <c r="AA356" s="69"/>
      <c r="AB356" s="69"/>
    </row>
    <row r="357" spans="1:28">
      <c r="A357" s="67"/>
      <c r="B357" s="67"/>
      <c r="C357" s="68"/>
      <c r="F357" s="69"/>
      <c r="G357" s="69"/>
      <c r="H357" s="69"/>
      <c r="I357" s="69"/>
      <c r="J357" s="69"/>
      <c r="K357" s="69"/>
      <c r="L357" s="69"/>
      <c r="M357" s="69"/>
      <c r="N357" s="69"/>
      <c r="O357" s="69"/>
      <c r="P357" s="69"/>
      <c r="Q357" s="69"/>
      <c r="R357" s="69"/>
      <c r="S357" s="69"/>
      <c r="T357" s="69"/>
      <c r="U357" s="69"/>
      <c r="V357" s="69"/>
      <c r="W357" s="81"/>
      <c r="X357" s="69"/>
      <c r="Y357" s="69"/>
      <c r="Z357" s="69"/>
      <c r="AA357" s="69"/>
      <c r="AB357" s="69"/>
    </row>
    <row r="358" spans="1:28">
      <c r="A358" s="67"/>
      <c r="B358" s="67"/>
      <c r="C358" s="68"/>
      <c r="F358" s="69"/>
      <c r="G358" s="69"/>
      <c r="H358" s="69"/>
      <c r="I358" s="69"/>
      <c r="J358" s="69"/>
      <c r="K358" s="69"/>
      <c r="L358" s="69"/>
      <c r="M358" s="69"/>
      <c r="N358" s="69"/>
      <c r="O358" s="69"/>
      <c r="P358" s="69"/>
      <c r="Q358" s="69"/>
      <c r="R358" s="69"/>
      <c r="S358" s="69"/>
      <c r="T358" s="69"/>
      <c r="U358" s="69"/>
      <c r="V358" s="69"/>
      <c r="W358" s="81"/>
      <c r="X358" s="69"/>
      <c r="Y358" s="69"/>
      <c r="Z358" s="69"/>
      <c r="AA358" s="69"/>
      <c r="AB358" s="69"/>
    </row>
    <row r="359" spans="1:28">
      <c r="A359" s="67"/>
      <c r="B359" s="67"/>
      <c r="C359" s="68"/>
      <c r="F359" s="69"/>
      <c r="G359" s="69"/>
      <c r="H359" s="69"/>
      <c r="I359" s="69"/>
      <c r="J359" s="69"/>
      <c r="K359" s="69"/>
      <c r="L359" s="69"/>
      <c r="M359" s="69"/>
      <c r="N359" s="69"/>
      <c r="O359" s="69"/>
      <c r="P359" s="69"/>
      <c r="Q359" s="69"/>
      <c r="R359" s="69"/>
      <c r="S359" s="69"/>
      <c r="T359" s="69"/>
      <c r="U359" s="69"/>
      <c r="V359" s="69"/>
      <c r="W359" s="81"/>
      <c r="X359" s="69"/>
      <c r="Y359" s="69"/>
      <c r="Z359" s="69"/>
      <c r="AA359" s="69"/>
      <c r="AB359" s="69"/>
    </row>
    <row r="360" spans="1:28">
      <c r="A360" s="67"/>
      <c r="B360" s="67"/>
      <c r="C360" s="68"/>
      <c r="F360" s="69"/>
      <c r="G360" s="69"/>
      <c r="H360" s="69"/>
      <c r="I360" s="69"/>
      <c r="J360" s="69"/>
      <c r="K360" s="69"/>
      <c r="L360" s="69"/>
      <c r="M360" s="69"/>
      <c r="N360" s="69"/>
      <c r="O360" s="69"/>
      <c r="P360" s="69"/>
      <c r="Q360" s="69"/>
      <c r="R360" s="69"/>
      <c r="S360" s="69"/>
      <c r="T360" s="69"/>
      <c r="U360" s="69"/>
      <c r="V360" s="69"/>
      <c r="W360" s="81"/>
      <c r="X360" s="69"/>
      <c r="Y360" s="69"/>
      <c r="Z360" s="69"/>
      <c r="AA360" s="69"/>
      <c r="AB360" s="69"/>
    </row>
    <row r="361" spans="1:28">
      <c r="A361" s="67"/>
      <c r="B361" s="67"/>
      <c r="C361" s="68"/>
      <c r="F361" s="69"/>
      <c r="G361" s="69"/>
      <c r="H361" s="69"/>
      <c r="I361" s="69"/>
      <c r="J361" s="69"/>
      <c r="K361" s="69"/>
      <c r="L361" s="69"/>
      <c r="M361" s="69"/>
      <c r="N361" s="69"/>
      <c r="O361" s="69"/>
      <c r="P361" s="69"/>
      <c r="Q361" s="69"/>
      <c r="R361" s="69"/>
      <c r="S361" s="69"/>
      <c r="T361" s="69"/>
      <c r="U361" s="69"/>
      <c r="V361" s="69"/>
      <c r="W361" s="81"/>
      <c r="X361" s="69"/>
      <c r="Y361" s="69"/>
      <c r="Z361" s="69"/>
      <c r="AA361" s="69"/>
      <c r="AB361" s="69"/>
    </row>
    <row r="362" spans="1:28">
      <c r="A362" s="67"/>
      <c r="B362" s="67"/>
      <c r="C362" s="68"/>
      <c r="F362" s="69"/>
      <c r="G362" s="69"/>
      <c r="H362" s="69"/>
      <c r="I362" s="69"/>
      <c r="J362" s="69"/>
      <c r="K362" s="69"/>
      <c r="L362" s="69"/>
      <c r="M362" s="69"/>
      <c r="N362" s="69"/>
      <c r="O362" s="69"/>
      <c r="P362" s="69"/>
      <c r="Q362" s="69"/>
      <c r="R362" s="69"/>
      <c r="S362" s="69"/>
      <c r="T362" s="69"/>
      <c r="U362" s="69"/>
      <c r="V362" s="69"/>
      <c r="W362" s="81"/>
      <c r="X362" s="69"/>
      <c r="Y362" s="69"/>
      <c r="Z362" s="69"/>
      <c r="AA362" s="69"/>
      <c r="AB362" s="69"/>
    </row>
    <row r="363" spans="1:28">
      <c r="A363" s="67"/>
      <c r="B363" s="67"/>
      <c r="C363" s="68"/>
      <c r="F363" s="69"/>
      <c r="G363" s="69"/>
      <c r="H363" s="69"/>
      <c r="I363" s="69"/>
      <c r="J363" s="69"/>
      <c r="K363" s="69"/>
      <c r="L363" s="69"/>
      <c r="M363" s="69"/>
      <c r="N363" s="69"/>
      <c r="O363" s="69"/>
      <c r="P363" s="69"/>
      <c r="Q363" s="69"/>
      <c r="R363" s="69"/>
      <c r="S363" s="69"/>
      <c r="T363" s="69"/>
      <c r="U363" s="69"/>
      <c r="V363" s="69"/>
      <c r="W363" s="81"/>
      <c r="X363" s="69"/>
      <c r="Y363" s="69"/>
      <c r="Z363" s="69"/>
      <c r="AA363" s="69"/>
      <c r="AB363" s="69"/>
    </row>
    <row r="364" spans="1:28">
      <c r="A364" s="67"/>
      <c r="B364" s="67"/>
      <c r="C364" s="68"/>
      <c r="F364" s="69"/>
      <c r="G364" s="69"/>
      <c r="H364" s="69"/>
      <c r="I364" s="69"/>
      <c r="J364" s="69"/>
      <c r="K364" s="69"/>
      <c r="L364" s="69"/>
      <c r="M364" s="69"/>
      <c r="N364" s="69"/>
      <c r="O364" s="69"/>
      <c r="P364" s="69"/>
      <c r="Q364" s="69"/>
      <c r="R364" s="69"/>
      <c r="S364" s="69"/>
      <c r="T364" s="69"/>
      <c r="U364" s="69"/>
      <c r="V364" s="69"/>
      <c r="W364" s="81"/>
      <c r="X364" s="69"/>
      <c r="Y364" s="69"/>
      <c r="Z364" s="69"/>
      <c r="AA364" s="69"/>
      <c r="AB364" s="69"/>
    </row>
    <row r="365" spans="1:28">
      <c r="A365" s="67"/>
      <c r="B365" s="67"/>
      <c r="C365" s="68"/>
      <c r="F365" s="69"/>
      <c r="G365" s="69"/>
      <c r="H365" s="69"/>
      <c r="I365" s="69"/>
      <c r="J365" s="69"/>
      <c r="K365" s="69"/>
      <c r="L365" s="69"/>
      <c r="M365" s="69"/>
      <c r="N365" s="69"/>
      <c r="O365" s="69"/>
      <c r="P365" s="69"/>
      <c r="Q365" s="69"/>
      <c r="R365" s="69"/>
      <c r="S365" s="69"/>
      <c r="T365" s="69"/>
      <c r="U365" s="69"/>
      <c r="V365" s="69"/>
      <c r="W365" s="81"/>
      <c r="X365" s="69"/>
      <c r="Y365" s="69"/>
      <c r="Z365" s="69"/>
      <c r="AA365" s="69"/>
      <c r="AB365" s="69"/>
    </row>
    <row r="366" spans="1:28">
      <c r="A366" s="67"/>
      <c r="B366" s="67"/>
      <c r="C366" s="68"/>
      <c r="F366" s="69"/>
      <c r="G366" s="69"/>
      <c r="H366" s="69"/>
      <c r="I366" s="69"/>
      <c r="J366" s="69"/>
      <c r="K366" s="69"/>
      <c r="L366" s="69"/>
      <c r="M366" s="69"/>
      <c r="N366" s="69"/>
      <c r="O366" s="69"/>
      <c r="P366" s="69"/>
      <c r="Q366" s="69"/>
      <c r="R366" s="69"/>
      <c r="S366" s="69"/>
      <c r="T366" s="69"/>
      <c r="U366" s="69"/>
      <c r="V366" s="69"/>
      <c r="W366" s="81"/>
      <c r="X366" s="69"/>
      <c r="Y366" s="69"/>
      <c r="Z366" s="69"/>
      <c r="AA366" s="69"/>
      <c r="AB366" s="69"/>
    </row>
    <row r="367" spans="1:28">
      <c r="A367" s="67"/>
      <c r="B367" s="67"/>
      <c r="C367" s="68"/>
      <c r="F367" s="69"/>
      <c r="G367" s="69"/>
      <c r="H367" s="69"/>
      <c r="I367" s="69"/>
      <c r="J367" s="69"/>
      <c r="K367" s="69"/>
      <c r="L367" s="69"/>
      <c r="M367" s="69"/>
      <c r="N367" s="69"/>
      <c r="O367" s="69"/>
      <c r="P367" s="69"/>
      <c r="Q367" s="69"/>
      <c r="R367" s="69"/>
      <c r="S367" s="69"/>
      <c r="T367" s="69"/>
      <c r="U367" s="69"/>
      <c r="V367" s="69"/>
      <c r="W367" s="81"/>
      <c r="X367" s="69"/>
      <c r="Y367" s="69"/>
      <c r="Z367" s="69"/>
      <c r="AA367" s="69"/>
      <c r="AB367" s="69"/>
    </row>
    <row r="368" spans="1:28">
      <c r="A368" s="67"/>
      <c r="B368" s="67"/>
      <c r="C368" s="68"/>
      <c r="F368" s="69"/>
      <c r="G368" s="69"/>
      <c r="H368" s="69"/>
      <c r="I368" s="69"/>
      <c r="J368" s="69"/>
      <c r="K368" s="69"/>
      <c r="L368" s="69"/>
      <c r="M368" s="69"/>
      <c r="N368" s="69"/>
      <c r="O368" s="69"/>
      <c r="P368" s="69"/>
      <c r="Q368" s="69"/>
      <c r="R368" s="69"/>
      <c r="S368" s="69"/>
      <c r="T368" s="69"/>
      <c r="U368" s="69"/>
      <c r="V368" s="69"/>
      <c r="W368" s="81"/>
      <c r="X368" s="69"/>
      <c r="Y368" s="69"/>
      <c r="Z368" s="69"/>
      <c r="AA368" s="69"/>
      <c r="AB368" s="69"/>
    </row>
    <row r="369" spans="1:28">
      <c r="A369" s="67"/>
      <c r="B369" s="67"/>
      <c r="C369" s="68"/>
      <c r="F369" s="69"/>
      <c r="G369" s="69"/>
      <c r="H369" s="69"/>
      <c r="I369" s="69"/>
      <c r="J369" s="69"/>
      <c r="K369" s="69"/>
      <c r="L369" s="69"/>
      <c r="M369" s="69"/>
      <c r="N369" s="69"/>
      <c r="O369" s="69"/>
      <c r="P369" s="69"/>
      <c r="Q369" s="69"/>
      <c r="R369" s="69"/>
      <c r="S369" s="69"/>
      <c r="T369" s="69"/>
      <c r="U369" s="69"/>
      <c r="V369" s="69"/>
      <c r="W369" s="81"/>
      <c r="X369" s="69"/>
      <c r="Y369" s="69"/>
      <c r="Z369" s="69"/>
      <c r="AA369" s="69"/>
      <c r="AB369" s="69"/>
    </row>
    <row r="370" spans="1:28">
      <c r="A370" s="67"/>
      <c r="B370" s="67"/>
      <c r="C370" s="68"/>
      <c r="F370" s="69"/>
      <c r="G370" s="69"/>
      <c r="H370" s="69"/>
      <c r="I370" s="69"/>
      <c r="J370" s="69"/>
      <c r="K370" s="69"/>
      <c r="L370" s="69"/>
      <c r="M370" s="69"/>
      <c r="N370" s="69"/>
      <c r="O370" s="69"/>
      <c r="P370" s="69"/>
      <c r="Q370" s="69"/>
      <c r="R370" s="69"/>
      <c r="S370" s="69"/>
      <c r="T370" s="69"/>
      <c r="U370" s="69"/>
      <c r="V370" s="69"/>
      <c r="W370" s="81"/>
      <c r="X370" s="69"/>
      <c r="Y370" s="69"/>
      <c r="Z370" s="69"/>
      <c r="AA370" s="69"/>
      <c r="AB370" s="69"/>
    </row>
    <row r="371" spans="1:28">
      <c r="A371" s="67"/>
      <c r="B371" s="67"/>
      <c r="C371" s="68"/>
      <c r="F371" s="69"/>
      <c r="G371" s="69"/>
      <c r="H371" s="69"/>
      <c r="I371" s="69"/>
      <c r="J371" s="69"/>
      <c r="K371" s="69"/>
      <c r="L371" s="69"/>
      <c r="M371" s="69"/>
      <c r="N371" s="69"/>
      <c r="O371" s="69"/>
      <c r="P371" s="69"/>
      <c r="Q371" s="69"/>
      <c r="R371" s="69"/>
      <c r="S371" s="69"/>
      <c r="T371" s="69"/>
      <c r="U371" s="69"/>
      <c r="V371" s="69"/>
      <c r="W371" s="81"/>
      <c r="X371" s="69"/>
      <c r="Y371" s="69"/>
      <c r="Z371" s="69"/>
      <c r="AA371" s="69"/>
      <c r="AB371" s="69"/>
    </row>
    <row r="372" spans="1:28">
      <c r="A372" s="67"/>
      <c r="B372" s="67"/>
      <c r="C372" s="68"/>
      <c r="F372" s="69"/>
      <c r="G372" s="69"/>
      <c r="H372" s="69"/>
      <c r="I372" s="69"/>
      <c r="J372" s="69"/>
      <c r="K372" s="69"/>
      <c r="L372" s="69"/>
      <c r="M372" s="69"/>
      <c r="N372" s="69"/>
      <c r="O372" s="69"/>
      <c r="P372" s="69"/>
      <c r="Q372" s="69"/>
      <c r="R372" s="69"/>
      <c r="S372" s="69"/>
      <c r="T372" s="69"/>
      <c r="U372" s="69"/>
      <c r="V372" s="69"/>
      <c r="W372" s="81"/>
      <c r="X372" s="69"/>
      <c r="Y372" s="69"/>
      <c r="Z372" s="69"/>
      <c r="AA372" s="69"/>
      <c r="AB372" s="69"/>
    </row>
    <row r="373" spans="1:28">
      <c r="A373" s="67"/>
      <c r="B373" s="67"/>
      <c r="C373" s="68"/>
      <c r="F373" s="69"/>
      <c r="G373" s="69"/>
      <c r="H373" s="69"/>
      <c r="I373" s="69"/>
      <c r="J373" s="69"/>
      <c r="K373" s="69"/>
      <c r="L373" s="69"/>
      <c r="M373" s="69"/>
      <c r="N373" s="69"/>
      <c r="O373" s="69"/>
      <c r="P373" s="69"/>
      <c r="Q373" s="69"/>
      <c r="R373" s="69"/>
      <c r="S373" s="69"/>
      <c r="T373" s="69"/>
      <c r="U373" s="69"/>
      <c r="V373" s="69"/>
      <c r="W373" s="81"/>
      <c r="X373" s="69"/>
      <c r="Y373" s="69"/>
      <c r="Z373" s="69"/>
      <c r="AA373" s="69"/>
      <c r="AB373" s="69"/>
    </row>
    <row r="374" spans="1:28">
      <c r="A374" s="67"/>
      <c r="B374" s="67"/>
      <c r="C374" s="68"/>
      <c r="F374" s="69"/>
      <c r="G374" s="69"/>
      <c r="H374" s="69"/>
      <c r="I374" s="69"/>
      <c r="J374" s="69"/>
      <c r="K374" s="69"/>
      <c r="L374" s="69"/>
      <c r="M374" s="69"/>
      <c r="N374" s="69"/>
      <c r="O374" s="69"/>
      <c r="P374" s="69"/>
      <c r="Q374" s="69"/>
      <c r="R374" s="69"/>
      <c r="S374" s="69"/>
      <c r="T374" s="69"/>
      <c r="U374" s="69"/>
      <c r="V374" s="69"/>
      <c r="W374" s="81"/>
      <c r="X374" s="69"/>
      <c r="Y374" s="69"/>
      <c r="Z374" s="69"/>
      <c r="AA374" s="69"/>
      <c r="AB374" s="69"/>
    </row>
    <row r="375" spans="1:28">
      <c r="A375" s="67"/>
      <c r="B375" s="67"/>
      <c r="C375" s="68"/>
      <c r="F375" s="69"/>
      <c r="G375" s="69"/>
      <c r="H375" s="69"/>
      <c r="I375" s="69"/>
      <c r="J375" s="69"/>
      <c r="K375" s="69"/>
      <c r="L375" s="69"/>
      <c r="M375" s="69"/>
      <c r="N375" s="69"/>
      <c r="O375" s="69"/>
      <c r="P375" s="69"/>
      <c r="Q375" s="69"/>
      <c r="R375" s="69"/>
      <c r="S375" s="69"/>
      <c r="T375" s="69"/>
      <c r="U375" s="69"/>
      <c r="V375" s="69"/>
      <c r="W375" s="81"/>
      <c r="X375" s="69"/>
      <c r="Y375" s="69"/>
      <c r="Z375" s="69"/>
      <c r="AA375" s="69"/>
      <c r="AB375" s="69"/>
    </row>
    <row r="376" spans="1:28">
      <c r="A376" s="67"/>
      <c r="B376" s="67"/>
      <c r="C376" s="68"/>
      <c r="F376" s="69"/>
      <c r="G376" s="69"/>
      <c r="H376" s="69"/>
      <c r="I376" s="69"/>
      <c r="J376" s="69"/>
      <c r="K376" s="69"/>
      <c r="L376" s="69"/>
      <c r="M376" s="69"/>
      <c r="N376" s="69"/>
      <c r="O376" s="69"/>
      <c r="P376" s="69"/>
      <c r="Q376" s="69"/>
      <c r="R376" s="69"/>
      <c r="S376" s="69"/>
      <c r="T376" s="69"/>
      <c r="U376" s="69"/>
      <c r="V376" s="69"/>
      <c r="W376" s="81"/>
      <c r="X376" s="69"/>
      <c r="Y376" s="69"/>
      <c r="Z376" s="69"/>
      <c r="AA376" s="69"/>
      <c r="AB376" s="69"/>
    </row>
    <row r="377" spans="1:28">
      <c r="A377" s="67"/>
      <c r="B377" s="67"/>
      <c r="C377" s="68"/>
      <c r="F377" s="69"/>
      <c r="G377" s="69"/>
      <c r="H377" s="69"/>
      <c r="I377" s="69"/>
      <c r="J377" s="69"/>
      <c r="K377" s="69"/>
      <c r="L377" s="69"/>
      <c r="M377" s="69"/>
      <c r="N377" s="69"/>
      <c r="O377" s="69"/>
      <c r="P377" s="69"/>
      <c r="Q377" s="69"/>
      <c r="R377" s="69"/>
      <c r="S377" s="69"/>
      <c r="T377" s="69"/>
      <c r="U377" s="69"/>
      <c r="V377" s="69"/>
      <c r="W377" s="81"/>
      <c r="X377" s="69"/>
      <c r="Y377" s="69"/>
      <c r="Z377" s="69"/>
      <c r="AA377" s="69"/>
      <c r="AB377" s="69"/>
    </row>
    <row r="378" spans="1:28">
      <c r="A378" s="67"/>
      <c r="B378" s="67"/>
      <c r="C378" s="68"/>
      <c r="F378" s="69"/>
      <c r="G378" s="69"/>
      <c r="H378" s="69"/>
      <c r="I378" s="69"/>
      <c r="J378" s="69"/>
      <c r="K378" s="69"/>
      <c r="L378" s="69"/>
      <c r="M378" s="69"/>
      <c r="N378" s="69"/>
      <c r="O378" s="69"/>
      <c r="P378" s="69"/>
      <c r="Q378" s="69"/>
      <c r="R378" s="69"/>
      <c r="S378" s="69"/>
      <c r="T378" s="69"/>
      <c r="U378" s="69"/>
      <c r="V378" s="69"/>
      <c r="W378" s="81"/>
      <c r="X378" s="69"/>
      <c r="Y378" s="69"/>
      <c r="Z378" s="69"/>
      <c r="AA378" s="69"/>
      <c r="AB378" s="69"/>
    </row>
    <row r="379" spans="1:28">
      <c r="A379" s="67"/>
      <c r="B379" s="67"/>
      <c r="C379" s="68"/>
      <c r="F379" s="69"/>
      <c r="G379" s="69"/>
      <c r="H379" s="69"/>
      <c r="I379" s="69"/>
      <c r="J379" s="69"/>
      <c r="K379" s="69"/>
      <c r="L379" s="69"/>
      <c r="M379" s="69"/>
      <c r="N379" s="69"/>
      <c r="O379" s="69"/>
      <c r="P379" s="69"/>
      <c r="Q379" s="69"/>
      <c r="R379" s="69"/>
      <c r="S379" s="69"/>
      <c r="T379" s="69"/>
      <c r="U379" s="69"/>
      <c r="V379" s="69"/>
      <c r="W379" s="81"/>
      <c r="X379" s="69"/>
      <c r="Y379" s="69"/>
      <c r="Z379" s="69"/>
      <c r="AA379" s="69"/>
      <c r="AB379" s="69"/>
    </row>
    <row r="380" spans="1:28">
      <c r="A380" s="67"/>
      <c r="B380" s="67"/>
      <c r="C380" s="68"/>
      <c r="F380" s="69"/>
      <c r="G380" s="69"/>
      <c r="H380" s="69"/>
      <c r="I380" s="69"/>
      <c r="J380" s="69"/>
      <c r="K380" s="69"/>
      <c r="L380" s="69"/>
      <c r="M380" s="69"/>
      <c r="N380" s="69"/>
      <c r="O380" s="69"/>
      <c r="P380" s="69"/>
      <c r="Q380" s="69"/>
      <c r="R380" s="69"/>
      <c r="S380" s="69"/>
      <c r="T380" s="69"/>
      <c r="U380" s="69"/>
      <c r="V380" s="69"/>
      <c r="W380" s="81"/>
      <c r="X380" s="69"/>
      <c r="Y380" s="69"/>
      <c r="Z380" s="69"/>
      <c r="AA380" s="69"/>
      <c r="AB380" s="69"/>
    </row>
    <row r="381" spans="1:28">
      <c r="A381" s="67"/>
      <c r="B381" s="67"/>
      <c r="C381" s="68"/>
      <c r="F381" s="69"/>
      <c r="G381" s="69"/>
      <c r="H381" s="69"/>
      <c r="I381" s="69"/>
      <c r="J381" s="69"/>
      <c r="K381" s="69"/>
      <c r="L381" s="69"/>
      <c r="M381" s="69"/>
      <c r="N381" s="69"/>
      <c r="O381" s="69"/>
      <c r="P381" s="69"/>
      <c r="Q381" s="69"/>
      <c r="R381" s="69"/>
      <c r="S381" s="69"/>
      <c r="T381" s="69"/>
      <c r="U381" s="69"/>
      <c r="V381" s="69"/>
      <c r="W381" s="81"/>
      <c r="X381" s="69"/>
      <c r="Y381" s="69"/>
      <c r="Z381" s="69"/>
      <c r="AA381" s="69"/>
      <c r="AB381" s="69"/>
    </row>
    <row r="382" spans="1:28">
      <c r="A382" s="67"/>
      <c r="B382" s="67"/>
      <c r="C382" s="68"/>
      <c r="F382" s="69"/>
      <c r="G382" s="69"/>
      <c r="H382" s="69"/>
      <c r="I382" s="69"/>
      <c r="J382" s="69"/>
      <c r="K382" s="69"/>
      <c r="L382" s="69"/>
      <c r="M382" s="69"/>
      <c r="N382" s="69"/>
      <c r="O382" s="69"/>
      <c r="P382" s="69"/>
      <c r="Q382" s="69"/>
      <c r="R382" s="69"/>
      <c r="S382" s="69"/>
      <c r="T382" s="69"/>
      <c r="U382" s="69"/>
      <c r="V382" s="69"/>
      <c r="W382" s="81"/>
      <c r="X382" s="69"/>
      <c r="Y382" s="69"/>
      <c r="Z382" s="69"/>
      <c r="AA382" s="69"/>
      <c r="AB382" s="69"/>
    </row>
    <row r="383" spans="1:28">
      <c r="A383" s="67"/>
      <c r="B383" s="67"/>
      <c r="C383" s="68"/>
      <c r="F383" s="69"/>
      <c r="G383" s="69"/>
      <c r="H383" s="69"/>
      <c r="I383" s="69"/>
      <c r="J383" s="69"/>
      <c r="K383" s="69"/>
      <c r="L383" s="69"/>
      <c r="M383" s="69"/>
      <c r="N383" s="69"/>
      <c r="O383" s="69"/>
      <c r="P383" s="69"/>
      <c r="Q383" s="69"/>
      <c r="R383" s="69"/>
      <c r="S383" s="69"/>
      <c r="T383" s="69"/>
      <c r="U383" s="69"/>
      <c r="V383" s="69"/>
      <c r="W383" s="81"/>
      <c r="X383" s="69"/>
      <c r="Y383" s="69"/>
      <c r="Z383" s="69"/>
      <c r="AA383" s="69"/>
      <c r="AB383" s="69"/>
    </row>
    <row r="384" spans="1:28">
      <c r="A384" s="67"/>
      <c r="B384" s="67"/>
      <c r="C384" s="68"/>
      <c r="F384" s="69"/>
      <c r="G384" s="69"/>
      <c r="H384" s="69"/>
      <c r="I384" s="69"/>
      <c r="J384" s="69"/>
      <c r="K384" s="69"/>
      <c r="L384" s="69"/>
      <c r="M384" s="69"/>
      <c r="N384" s="69"/>
      <c r="O384" s="69"/>
      <c r="P384" s="69"/>
      <c r="Q384" s="69"/>
      <c r="R384" s="69"/>
      <c r="S384" s="69"/>
      <c r="T384" s="69"/>
      <c r="U384" s="69"/>
      <c r="V384" s="69"/>
      <c r="W384" s="81"/>
      <c r="X384" s="69"/>
      <c r="Y384" s="69"/>
      <c r="Z384" s="69"/>
      <c r="AA384" s="69"/>
      <c r="AB384" s="69"/>
    </row>
    <row r="385" spans="1:28">
      <c r="A385" s="67"/>
      <c r="B385" s="67"/>
      <c r="C385" s="68"/>
      <c r="F385" s="69"/>
      <c r="G385" s="69"/>
      <c r="H385" s="69"/>
      <c r="I385" s="69"/>
      <c r="J385" s="69"/>
      <c r="K385" s="69"/>
      <c r="L385" s="69"/>
      <c r="M385" s="69"/>
      <c r="N385" s="69"/>
      <c r="O385" s="69"/>
      <c r="P385" s="69"/>
      <c r="Q385" s="69"/>
      <c r="R385" s="69"/>
      <c r="S385" s="69"/>
      <c r="T385" s="69"/>
      <c r="U385" s="69"/>
      <c r="V385" s="69"/>
      <c r="W385" s="81"/>
      <c r="X385" s="69"/>
      <c r="Y385" s="69"/>
      <c r="Z385" s="69"/>
      <c r="AA385" s="69"/>
      <c r="AB385" s="69"/>
    </row>
    <row r="386" spans="1:28">
      <c r="A386" s="67"/>
      <c r="B386" s="67"/>
      <c r="C386" s="68"/>
      <c r="F386" s="69"/>
      <c r="G386" s="69"/>
      <c r="H386" s="69"/>
      <c r="I386" s="69"/>
      <c r="J386" s="69"/>
      <c r="K386" s="69"/>
      <c r="L386" s="69"/>
      <c r="M386" s="69"/>
      <c r="N386" s="69"/>
      <c r="O386" s="69"/>
      <c r="P386" s="69"/>
      <c r="Q386" s="69"/>
      <c r="R386" s="69"/>
      <c r="S386" s="69"/>
      <c r="T386" s="69"/>
      <c r="U386" s="69"/>
      <c r="V386" s="69"/>
      <c r="W386" s="81"/>
      <c r="X386" s="69"/>
      <c r="Y386" s="69"/>
      <c r="Z386" s="69"/>
      <c r="AA386" s="69"/>
      <c r="AB386" s="69"/>
    </row>
    <row r="387" spans="1:28">
      <c r="A387" s="67"/>
      <c r="B387" s="67"/>
      <c r="C387" s="68"/>
      <c r="F387" s="69"/>
      <c r="G387" s="69"/>
      <c r="H387" s="69"/>
      <c r="I387" s="69"/>
      <c r="J387" s="69"/>
      <c r="K387" s="69"/>
      <c r="L387" s="69"/>
      <c r="M387" s="69"/>
      <c r="N387" s="69"/>
      <c r="O387" s="69"/>
      <c r="P387" s="69"/>
      <c r="Q387" s="69"/>
      <c r="R387" s="69"/>
      <c r="S387" s="69"/>
      <c r="T387" s="69"/>
      <c r="U387" s="69"/>
      <c r="V387" s="69"/>
      <c r="W387" s="81"/>
      <c r="X387" s="69"/>
      <c r="Y387" s="69"/>
      <c r="Z387" s="69"/>
      <c r="AA387" s="69"/>
      <c r="AB387" s="69"/>
    </row>
    <row r="388" spans="1:28">
      <c r="A388" s="67"/>
      <c r="B388" s="67"/>
      <c r="C388" s="68"/>
      <c r="F388" s="69"/>
      <c r="G388" s="69"/>
      <c r="H388" s="69"/>
      <c r="I388" s="69"/>
      <c r="J388" s="69"/>
      <c r="K388" s="69"/>
      <c r="L388" s="69"/>
      <c r="M388" s="69"/>
      <c r="N388" s="69"/>
      <c r="O388" s="69"/>
      <c r="P388" s="69"/>
      <c r="Q388" s="69"/>
      <c r="R388" s="69"/>
      <c r="S388" s="69"/>
      <c r="T388" s="69"/>
      <c r="U388" s="69"/>
      <c r="V388" s="69"/>
      <c r="W388" s="81"/>
      <c r="X388" s="69"/>
      <c r="Y388" s="69"/>
      <c r="Z388" s="69"/>
      <c r="AA388" s="69"/>
      <c r="AB388" s="69"/>
    </row>
    <row r="389" spans="1:28">
      <c r="A389" s="67"/>
      <c r="B389" s="67"/>
      <c r="C389" s="68"/>
      <c r="F389" s="69"/>
      <c r="G389" s="69"/>
      <c r="H389" s="69"/>
      <c r="I389" s="69"/>
      <c r="J389" s="69"/>
      <c r="K389" s="69"/>
      <c r="L389" s="69"/>
      <c r="M389" s="69"/>
      <c r="N389" s="69"/>
      <c r="O389" s="69"/>
      <c r="P389" s="69"/>
      <c r="Q389" s="69"/>
      <c r="R389" s="69"/>
      <c r="S389" s="69"/>
      <c r="T389" s="69"/>
      <c r="U389" s="69"/>
      <c r="V389" s="69"/>
      <c r="W389" s="81"/>
      <c r="X389" s="69"/>
      <c r="Y389" s="69"/>
      <c r="Z389" s="69"/>
      <c r="AA389" s="69"/>
      <c r="AB389" s="69"/>
    </row>
    <row r="390" spans="1:28">
      <c r="A390" s="67"/>
      <c r="B390" s="67"/>
      <c r="C390" s="68"/>
      <c r="F390" s="69"/>
      <c r="G390" s="69"/>
      <c r="H390" s="69"/>
      <c r="I390" s="69"/>
      <c r="J390" s="69"/>
      <c r="K390" s="69"/>
      <c r="L390" s="69"/>
      <c r="M390" s="69"/>
      <c r="N390" s="69"/>
      <c r="O390" s="69"/>
      <c r="P390" s="69"/>
      <c r="Q390" s="69"/>
      <c r="R390" s="69"/>
      <c r="S390" s="69"/>
      <c r="T390" s="69"/>
      <c r="U390" s="69"/>
      <c r="V390" s="69"/>
      <c r="W390" s="81"/>
      <c r="X390" s="69"/>
      <c r="Y390" s="69"/>
      <c r="Z390" s="69"/>
      <c r="AA390" s="69"/>
      <c r="AB390" s="69"/>
    </row>
    <row r="391" spans="1:28">
      <c r="A391" s="67"/>
      <c r="B391" s="67"/>
      <c r="C391" s="68"/>
      <c r="F391" s="69"/>
      <c r="G391" s="69"/>
      <c r="H391" s="69"/>
      <c r="I391" s="69"/>
      <c r="J391" s="69"/>
      <c r="K391" s="69"/>
      <c r="L391" s="69"/>
      <c r="M391" s="69"/>
      <c r="N391" s="69"/>
      <c r="O391" s="69"/>
      <c r="P391" s="69"/>
      <c r="Q391" s="69"/>
      <c r="R391" s="69"/>
      <c r="S391" s="69"/>
      <c r="T391" s="69"/>
      <c r="U391" s="69"/>
      <c r="V391" s="69"/>
      <c r="W391" s="81"/>
      <c r="X391" s="69"/>
      <c r="Y391" s="69"/>
      <c r="Z391" s="69"/>
      <c r="AA391" s="69"/>
      <c r="AB391" s="69"/>
    </row>
    <row r="392" spans="1:28">
      <c r="A392" s="67"/>
      <c r="B392" s="67"/>
      <c r="C392" s="68"/>
      <c r="F392" s="69"/>
      <c r="G392" s="69"/>
      <c r="H392" s="69"/>
      <c r="I392" s="69"/>
      <c r="J392" s="69"/>
      <c r="K392" s="69"/>
      <c r="L392" s="69"/>
      <c r="M392" s="69"/>
      <c r="N392" s="69"/>
      <c r="O392" s="69"/>
      <c r="P392" s="69"/>
      <c r="Q392" s="69"/>
      <c r="R392" s="69"/>
      <c r="S392" s="69"/>
      <c r="T392" s="69"/>
      <c r="U392" s="69"/>
      <c r="V392" s="69"/>
      <c r="W392" s="81"/>
      <c r="X392" s="69"/>
      <c r="Y392" s="69"/>
      <c r="Z392" s="69"/>
      <c r="AA392" s="69"/>
      <c r="AB392" s="69"/>
    </row>
    <row r="393" spans="1:28">
      <c r="A393" s="67"/>
      <c r="B393" s="67"/>
      <c r="C393" s="68"/>
      <c r="F393" s="69"/>
      <c r="G393" s="69"/>
      <c r="H393" s="69"/>
      <c r="I393" s="69"/>
      <c r="J393" s="69"/>
      <c r="K393" s="69"/>
      <c r="L393" s="69"/>
      <c r="M393" s="69"/>
      <c r="N393" s="69"/>
      <c r="O393" s="69"/>
      <c r="P393" s="69"/>
      <c r="Q393" s="69"/>
      <c r="R393" s="69"/>
      <c r="S393" s="69"/>
      <c r="T393" s="69"/>
      <c r="U393" s="69"/>
      <c r="V393" s="69"/>
      <c r="W393" s="81"/>
      <c r="X393" s="69"/>
      <c r="Y393" s="69"/>
      <c r="Z393" s="69"/>
      <c r="AA393" s="69"/>
      <c r="AB393" s="69"/>
    </row>
    <row r="394" spans="1:28">
      <c r="A394" s="67"/>
      <c r="B394" s="67"/>
      <c r="C394" s="68"/>
      <c r="F394" s="69"/>
      <c r="G394" s="69"/>
      <c r="H394" s="69"/>
      <c r="I394" s="69"/>
      <c r="J394" s="69"/>
      <c r="K394" s="69"/>
      <c r="L394" s="69"/>
      <c r="M394" s="69"/>
      <c r="N394" s="69"/>
      <c r="O394" s="69"/>
      <c r="P394" s="69"/>
      <c r="Q394" s="69"/>
      <c r="R394" s="69"/>
      <c r="S394" s="69"/>
      <c r="T394" s="69"/>
      <c r="U394" s="69"/>
      <c r="V394" s="69"/>
      <c r="W394" s="81"/>
      <c r="X394" s="69"/>
      <c r="Y394" s="69"/>
      <c r="Z394" s="69"/>
      <c r="AA394" s="69"/>
      <c r="AB394" s="69"/>
    </row>
    <row r="395" spans="1:28">
      <c r="A395" s="67"/>
      <c r="B395" s="67"/>
      <c r="C395" s="68"/>
      <c r="F395" s="69"/>
      <c r="G395" s="69"/>
      <c r="H395" s="69"/>
      <c r="I395" s="69"/>
      <c r="J395" s="69"/>
      <c r="K395" s="69"/>
      <c r="L395" s="69"/>
      <c r="M395" s="69"/>
      <c r="N395" s="69"/>
      <c r="O395" s="69"/>
      <c r="P395" s="69"/>
      <c r="Q395" s="69"/>
      <c r="R395" s="69"/>
      <c r="S395" s="69"/>
      <c r="T395" s="69"/>
      <c r="U395" s="69"/>
      <c r="V395" s="69"/>
      <c r="W395" s="81"/>
      <c r="X395" s="69"/>
      <c r="Y395" s="69"/>
      <c r="Z395" s="69"/>
      <c r="AA395" s="69"/>
      <c r="AB395" s="69"/>
    </row>
    <row r="396" spans="1:28">
      <c r="A396" s="67"/>
      <c r="B396" s="67"/>
      <c r="C396" s="68"/>
      <c r="F396" s="69"/>
      <c r="G396" s="69"/>
      <c r="H396" s="69"/>
      <c r="I396" s="69"/>
      <c r="J396" s="69"/>
      <c r="K396" s="69"/>
      <c r="L396" s="69"/>
      <c r="M396" s="69"/>
      <c r="N396" s="69"/>
      <c r="O396" s="69"/>
      <c r="P396" s="69"/>
      <c r="Q396" s="69"/>
      <c r="R396" s="69"/>
      <c r="S396" s="69"/>
      <c r="T396" s="69"/>
      <c r="U396" s="69"/>
      <c r="V396" s="69"/>
      <c r="W396" s="81"/>
      <c r="X396" s="69"/>
      <c r="Y396" s="69"/>
      <c r="Z396" s="69"/>
      <c r="AA396" s="69"/>
      <c r="AB396" s="69"/>
    </row>
    <row r="397" spans="1:28">
      <c r="A397" s="67"/>
      <c r="B397" s="67"/>
      <c r="C397" s="68"/>
      <c r="F397" s="69"/>
      <c r="G397" s="69"/>
      <c r="H397" s="69"/>
      <c r="I397" s="69"/>
      <c r="J397" s="69"/>
      <c r="K397" s="69"/>
      <c r="L397" s="69"/>
      <c r="M397" s="69"/>
      <c r="N397" s="69"/>
      <c r="O397" s="69"/>
      <c r="P397" s="69"/>
      <c r="Q397" s="69"/>
      <c r="R397" s="69"/>
      <c r="S397" s="69"/>
      <c r="T397" s="69"/>
      <c r="U397" s="69"/>
      <c r="V397" s="69"/>
      <c r="W397" s="81"/>
      <c r="X397" s="69"/>
      <c r="Y397" s="69"/>
      <c r="Z397" s="69"/>
      <c r="AA397" s="69"/>
      <c r="AB397" s="69"/>
    </row>
    <row r="398" spans="1:28">
      <c r="A398" s="67"/>
      <c r="B398" s="67"/>
      <c r="C398" s="68"/>
      <c r="F398" s="69"/>
      <c r="G398" s="69"/>
      <c r="H398" s="69"/>
      <c r="I398" s="69"/>
      <c r="J398" s="69"/>
      <c r="K398" s="69"/>
      <c r="L398" s="69"/>
      <c r="M398" s="69"/>
      <c r="N398" s="69"/>
      <c r="O398" s="69"/>
      <c r="P398" s="69"/>
      <c r="Q398" s="69"/>
      <c r="R398" s="69"/>
      <c r="S398" s="69"/>
      <c r="T398" s="69"/>
      <c r="U398" s="69"/>
      <c r="V398" s="69"/>
      <c r="W398" s="81"/>
      <c r="X398" s="69"/>
      <c r="Y398" s="69"/>
      <c r="Z398" s="69"/>
      <c r="AA398" s="69"/>
      <c r="AB398" s="69"/>
    </row>
    <row r="399" spans="1:28">
      <c r="A399" s="67"/>
      <c r="B399" s="67"/>
      <c r="C399" s="68"/>
      <c r="F399" s="69"/>
      <c r="G399" s="69"/>
      <c r="H399" s="69"/>
      <c r="I399" s="69"/>
      <c r="J399" s="69"/>
      <c r="K399" s="69"/>
      <c r="L399" s="69"/>
      <c r="M399" s="69"/>
      <c r="N399" s="69"/>
      <c r="O399" s="69"/>
      <c r="P399" s="69"/>
      <c r="Q399" s="69"/>
      <c r="R399" s="69"/>
      <c r="S399" s="69"/>
      <c r="T399" s="69"/>
      <c r="U399" s="69"/>
      <c r="V399" s="69"/>
      <c r="W399" s="81"/>
      <c r="X399" s="69"/>
      <c r="Y399" s="69"/>
      <c r="Z399" s="69"/>
      <c r="AA399" s="69"/>
      <c r="AB399" s="69"/>
    </row>
    <row r="400" spans="1:28">
      <c r="A400" s="67"/>
      <c r="B400" s="67"/>
      <c r="C400" s="68"/>
      <c r="F400" s="69"/>
      <c r="G400" s="69"/>
      <c r="H400" s="69"/>
      <c r="I400" s="69"/>
      <c r="J400" s="69"/>
      <c r="K400" s="69"/>
      <c r="L400" s="69"/>
      <c r="M400" s="69"/>
      <c r="N400" s="69"/>
      <c r="O400" s="69"/>
      <c r="P400" s="69"/>
      <c r="Q400" s="69"/>
      <c r="R400" s="69"/>
      <c r="S400" s="69"/>
      <c r="T400" s="69"/>
      <c r="U400" s="69"/>
      <c r="V400" s="69"/>
      <c r="W400" s="81"/>
      <c r="X400" s="69"/>
      <c r="Y400" s="69"/>
      <c r="Z400" s="69"/>
      <c r="AA400" s="69"/>
      <c r="AB400" s="69"/>
    </row>
    <row r="401" spans="1:28">
      <c r="A401" s="67"/>
      <c r="B401" s="67"/>
      <c r="C401" s="68"/>
      <c r="F401" s="69"/>
      <c r="G401" s="69"/>
      <c r="H401" s="69"/>
      <c r="I401" s="69"/>
      <c r="J401" s="69"/>
      <c r="K401" s="69"/>
      <c r="L401" s="69"/>
      <c r="M401" s="69"/>
      <c r="N401" s="69"/>
      <c r="O401" s="69"/>
      <c r="P401" s="69"/>
      <c r="Q401" s="69"/>
      <c r="R401" s="69"/>
      <c r="S401" s="69"/>
      <c r="T401" s="69"/>
      <c r="U401" s="69"/>
      <c r="V401" s="69"/>
      <c r="W401" s="81"/>
      <c r="X401" s="69"/>
      <c r="Y401" s="69"/>
      <c r="Z401" s="69"/>
      <c r="AA401" s="69"/>
      <c r="AB401" s="69"/>
    </row>
    <row r="402" spans="1:28">
      <c r="A402" s="67"/>
      <c r="B402" s="67"/>
      <c r="C402" s="68"/>
      <c r="F402" s="69"/>
      <c r="G402" s="69"/>
      <c r="H402" s="69"/>
      <c r="I402" s="69"/>
      <c r="J402" s="69"/>
      <c r="K402" s="69"/>
      <c r="L402" s="69"/>
      <c r="M402" s="69"/>
      <c r="N402" s="69"/>
      <c r="O402" s="69"/>
      <c r="P402" s="69"/>
      <c r="Q402" s="69"/>
      <c r="R402" s="69"/>
      <c r="S402" s="69"/>
      <c r="T402" s="69"/>
      <c r="U402" s="69"/>
      <c r="V402" s="69"/>
      <c r="W402" s="81"/>
      <c r="X402" s="69"/>
      <c r="Y402" s="69"/>
      <c r="Z402" s="69"/>
      <c r="AA402" s="69"/>
      <c r="AB402" s="69"/>
    </row>
    <row r="403" spans="1:28">
      <c r="A403" s="67"/>
      <c r="B403" s="67"/>
      <c r="C403" s="68"/>
      <c r="F403" s="69"/>
      <c r="G403" s="69"/>
      <c r="H403" s="69"/>
      <c r="I403" s="69"/>
      <c r="J403" s="69"/>
      <c r="K403" s="69"/>
      <c r="L403" s="69"/>
      <c r="M403" s="69"/>
      <c r="N403" s="69"/>
      <c r="O403" s="69"/>
      <c r="P403" s="69"/>
      <c r="Q403" s="69"/>
      <c r="R403" s="69"/>
      <c r="S403" s="69"/>
      <c r="T403" s="69"/>
      <c r="U403" s="69"/>
      <c r="V403" s="69"/>
      <c r="W403" s="81"/>
      <c r="X403" s="69"/>
      <c r="Y403" s="69"/>
      <c r="Z403" s="69"/>
      <c r="AA403" s="69"/>
      <c r="AB403" s="69"/>
    </row>
    <row r="404" spans="1:28">
      <c r="A404" s="67"/>
      <c r="B404" s="67"/>
      <c r="C404" s="68"/>
      <c r="F404" s="69"/>
      <c r="G404" s="69"/>
      <c r="H404" s="69"/>
      <c r="I404" s="69"/>
      <c r="J404" s="69"/>
      <c r="K404" s="69"/>
      <c r="L404" s="69"/>
      <c r="M404" s="69"/>
      <c r="N404" s="69"/>
      <c r="O404" s="69"/>
      <c r="P404" s="69"/>
      <c r="Q404" s="69"/>
      <c r="R404" s="69"/>
      <c r="S404" s="69"/>
      <c r="T404" s="69"/>
      <c r="U404" s="69"/>
      <c r="V404" s="69"/>
      <c r="W404" s="81"/>
      <c r="X404" s="69"/>
      <c r="Y404" s="69"/>
      <c r="Z404" s="69"/>
      <c r="AA404" s="69"/>
      <c r="AB404" s="69"/>
    </row>
    <row r="405" spans="1:28">
      <c r="A405" s="67"/>
      <c r="B405" s="67"/>
      <c r="C405" s="68"/>
      <c r="F405" s="69"/>
      <c r="G405" s="69"/>
      <c r="H405" s="69"/>
      <c r="I405" s="69"/>
      <c r="J405" s="69"/>
      <c r="K405" s="69"/>
      <c r="L405" s="69"/>
      <c r="M405" s="69"/>
      <c r="N405" s="69"/>
      <c r="O405" s="69"/>
      <c r="P405" s="69"/>
      <c r="Q405" s="69"/>
      <c r="R405" s="69"/>
      <c r="S405" s="69"/>
      <c r="T405" s="69"/>
      <c r="U405" s="69"/>
      <c r="V405" s="69"/>
      <c r="W405" s="81"/>
      <c r="X405" s="69"/>
      <c r="Y405" s="69"/>
      <c r="Z405" s="69"/>
      <c r="AA405" s="69"/>
      <c r="AB405" s="69"/>
    </row>
    <row r="406" spans="1:28">
      <c r="A406" s="67"/>
      <c r="B406" s="67"/>
      <c r="C406" s="68"/>
      <c r="F406" s="69"/>
      <c r="G406" s="69"/>
      <c r="H406" s="69"/>
      <c r="I406" s="69"/>
      <c r="J406" s="69"/>
      <c r="K406" s="69"/>
      <c r="L406" s="69"/>
      <c r="M406" s="69"/>
      <c r="N406" s="69"/>
      <c r="O406" s="69"/>
      <c r="P406" s="69"/>
      <c r="Q406" s="69"/>
      <c r="R406" s="69"/>
      <c r="S406" s="69"/>
      <c r="T406" s="69"/>
      <c r="U406" s="69"/>
      <c r="V406" s="69"/>
      <c r="W406" s="81"/>
      <c r="X406" s="69"/>
      <c r="Y406" s="69"/>
      <c r="Z406" s="69"/>
      <c r="AA406" s="69"/>
      <c r="AB406" s="69"/>
    </row>
    <row r="407" spans="1:28">
      <c r="A407" s="67"/>
      <c r="B407" s="67"/>
      <c r="C407" s="68"/>
      <c r="F407" s="69"/>
      <c r="G407" s="69"/>
      <c r="H407" s="69"/>
      <c r="I407" s="69"/>
      <c r="J407" s="69"/>
      <c r="K407" s="69"/>
      <c r="L407" s="69"/>
      <c r="M407" s="69"/>
      <c r="N407" s="69"/>
      <c r="O407" s="69"/>
      <c r="P407" s="69"/>
      <c r="Q407" s="69"/>
      <c r="R407" s="69"/>
      <c r="S407" s="69"/>
      <c r="T407" s="69"/>
      <c r="U407" s="69"/>
      <c r="V407" s="69"/>
      <c r="W407" s="81"/>
      <c r="X407" s="69"/>
      <c r="Y407" s="69"/>
      <c r="Z407" s="69"/>
      <c r="AA407" s="69"/>
      <c r="AB407" s="69"/>
    </row>
    <row r="408" spans="1:28">
      <c r="A408" s="67"/>
      <c r="B408" s="67"/>
      <c r="C408" s="68"/>
      <c r="F408" s="69"/>
      <c r="G408" s="69"/>
      <c r="H408" s="69"/>
      <c r="I408" s="69"/>
      <c r="J408" s="69"/>
      <c r="K408" s="69"/>
      <c r="L408" s="69"/>
      <c r="M408" s="69"/>
      <c r="N408" s="69"/>
      <c r="O408" s="69"/>
      <c r="P408" s="69"/>
      <c r="Q408" s="69"/>
      <c r="R408" s="69"/>
      <c r="S408" s="69"/>
      <c r="T408" s="69"/>
      <c r="U408" s="69"/>
      <c r="V408" s="69"/>
      <c r="W408" s="81"/>
      <c r="X408" s="69"/>
      <c r="Y408" s="69"/>
      <c r="Z408" s="69"/>
      <c r="AA408" s="69"/>
      <c r="AB408" s="69"/>
    </row>
    <row r="409" spans="1:28">
      <c r="A409" s="67"/>
      <c r="B409" s="67"/>
      <c r="C409" s="68"/>
      <c r="F409" s="69"/>
      <c r="G409" s="69"/>
      <c r="H409" s="69"/>
      <c r="I409" s="69"/>
      <c r="J409" s="69"/>
      <c r="K409" s="69"/>
      <c r="L409" s="69"/>
      <c r="M409" s="69"/>
      <c r="N409" s="69"/>
      <c r="O409" s="69"/>
      <c r="P409" s="69"/>
      <c r="Q409" s="69"/>
      <c r="R409" s="69"/>
      <c r="S409" s="69"/>
      <c r="T409" s="69"/>
      <c r="U409" s="69"/>
      <c r="V409" s="69"/>
      <c r="W409" s="81"/>
      <c r="X409" s="69"/>
      <c r="Y409" s="69"/>
      <c r="Z409" s="69"/>
      <c r="AA409" s="69"/>
      <c r="AB409" s="69"/>
    </row>
    <row r="410" spans="1:28">
      <c r="A410" s="67"/>
      <c r="B410" s="67"/>
      <c r="C410" s="68"/>
      <c r="F410" s="69"/>
      <c r="G410" s="69"/>
      <c r="H410" s="69"/>
      <c r="I410" s="69"/>
      <c r="J410" s="69"/>
      <c r="K410" s="69"/>
      <c r="L410" s="69"/>
      <c r="M410" s="69"/>
      <c r="N410" s="69"/>
      <c r="O410" s="69"/>
      <c r="P410" s="69"/>
      <c r="Q410" s="69"/>
      <c r="R410" s="69"/>
      <c r="S410" s="69"/>
      <c r="T410" s="69"/>
      <c r="U410" s="69"/>
      <c r="V410" s="69"/>
      <c r="W410" s="81"/>
      <c r="X410" s="69"/>
      <c r="Y410" s="69"/>
      <c r="Z410" s="69"/>
      <c r="AA410" s="69"/>
      <c r="AB410" s="69"/>
    </row>
    <row r="411" spans="1:28">
      <c r="A411" s="67"/>
      <c r="B411" s="67"/>
      <c r="C411" s="68"/>
      <c r="F411" s="69"/>
      <c r="G411" s="69"/>
      <c r="H411" s="69"/>
      <c r="I411" s="69"/>
      <c r="J411" s="69"/>
      <c r="K411" s="69"/>
      <c r="L411" s="69"/>
      <c r="M411" s="69"/>
      <c r="N411" s="69"/>
      <c r="O411" s="69"/>
      <c r="P411" s="69"/>
      <c r="Q411" s="69"/>
      <c r="R411" s="69"/>
      <c r="S411" s="69"/>
      <c r="T411" s="69"/>
      <c r="U411" s="69"/>
      <c r="V411" s="69"/>
      <c r="W411" s="81"/>
      <c r="X411" s="69"/>
      <c r="Y411" s="69"/>
      <c r="Z411" s="69"/>
      <c r="AA411" s="69"/>
      <c r="AB411" s="69"/>
    </row>
    <row r="412" spans="1:28">
      <c r="A412" s="67"/>
      <c r="B412" s="67"/>
      <c r="C412" s="68"/>
      <c r="F412" s="69"/>
      <c r="G412" s="69"/>
      <c r="H412" s="69"/>
      <c r="I412" s="69"/>
      <c r="J412" s="69"/>
      <c r="K412" s="69"/>
      <c r="L412" s="69"/>
      <c r="M412" s="69"/>
      <c r="N412" s="69"/>
      <c r="O412" s="69"/>
      <c r="P412" s="69"/>
      <c r="Q412" s="69"/>
      <c r="R412" s="69"/>
      <c r="S412" s="69"/>
      <c r="T412" s="69"/>
      <c r="U412" s="69"/>
      <c r="V412" s="69"/>
      <c r="W412" s="81"/>
      <c r="X412" s="69"/>
      <c r="Y412" s="69"/>
      <c r="Z412" s="69"/>
      <c r="AA412" s="69"/>
      <c r="AB412" s="69"/>
    </row>
    <row r="413" spans="1:28">
      <c r="A413" s="67"/>
      <c r="B413" s="67"/>
      <c r="C413" s="68"/>
      <c r="F413" s="69"/>
      <c r="G413" s="69"/>
      <c r="H413" s="69"/>
      <c r="I413" s="69"/>
      <c r="J413" s="69"/>
      <c r="K413" s="69"/>
      <c r="L413" s="69"/>
      <c r="M413" s="69"/>
      <c r="N413" s="69"/>
      <c r="O413" s="69"/>
      <c r="P413" s="69"/>
      <c r="Q413" s="69"/>
      <c r="R413" s="69"/>
      <c r="S413" s="69"/>
      <c r="T413" s="69"/>
      <c r="U413" s="69"/>
      <c r="V413" s="69"/>
      <c r="W413" s="81"/>
      <c r="X413" s="69"/>
      <c r="Y413" s="69"/>
      <c r="Z413" s="69"/>
      <c r="AA413" s="69"/>
      <c r="AB413" s="69"/>
    </row>
    <row r="414" spans="1:28">
      <c r="A414" s="67"/>
      <c r="B414" s="67"/>
      <c r="C414" s="68"/>
      <c r="F414" s="69"/>
      <c r="G414" s="69"/>
      <c r="H414" s="69"/>
      <c r="I414" s="69"/>
      <c r="J414" s="69"/>
      <c r="K414" s="69"/>
      <c r="L414" s="69"/>
      <c r="M414" s="69"/>
      <c r="N414" s="69"/>
      <c r="O414" s="69"/>
      <c r="P414" s="69"/>
      <c r="Q414" s="69"/>
      <c r="R414" s="69"/>
      <c r="S414" s="69"/>
      <c r="T414" s="69"/>
      <c r="U414" s="69"/>
      <c r="V414" s="69"/>
      <c r="W414" s="81"/>
      <c r="X414" s="69"/>
      <c r="Y414" s="69"/>
      <c r="Z414" s="69"/>
      <c r="AA414" s="69"/>
      <c r="AB414" s="69"/>
    </row>
    <row r="415" spans="1:28">
      <c r="A415" s="67"/>
      <c r="B415" s="67"/>
      <c r="C415" s="68"/>
      <c r="F415" s="69"/>
      <c r="G415" s="69"/>
      <c r="H415" s="69"/>
      <c r="I415" s="69"/>
      <c r="J415" s="69"/>
      <c r="K415" s="69"/>
      <c r="L415" s="69"/>
      <c r="M415" s="69"/>
      <c r="N415" s="69"/>
      <c r="O415" s="69"/>
      <c r="P415" s="69"/>
      <c r="Q415" s="69"/>
      <c r="R415" s="69"/>
      <c r="S415" s="69"/>
      <c r="T415" s="69"/>
      <c r="U415" s="69"/>
      <c r="V415" s="69"/>
      <c r="W415" s="81"/>
      <c r="X415" s="69"/>
      <c r="Y415" s="69"/>
      <c r="Z415" s="69"/>
      <c r="AA415" s="69"/>
      <c r="AB415" s="69"/>
    </row>
    <row r="416" spans="1:28">
      <c r="A416" s="67"/>
      <c r="B416" s="67"/>
      <c r="C416" s="68"/>
      <c r="F416" s="69"/>
      <c r="G416" s="69"/>
      <c r="H416" s="69"/>
      <c r="I416" s="69"/>
      <c r="J416" s="69"/>
      <c r="K416" s="69"/>
      <c r="L416" s="69"/>
      <c r="M416" s="69"/>
      <c r="N416" s="69"/>
      <c r="O416" s="69"/>
      <c r="P416" s="69"/>
      <c r="Q416" s="69"/>
      <c r="R416" s="69"/>
      <c r="S416" s="69"/>
      <c r="T416" s="69"/>
      <c r="U416" s="69"/>
      <c r="V416" s="69"/>
      <c r="W416" s="81"/>
      <c r="X416" s="69"/>
      <c r="Y416" s="69"/>
      <c r="Z416" s="69"/>
      <c r="AA416" s="69"/>
      <c r="AB416" s="69"/>
    </row>
    <row r="417" spans="1:28">
      <c r="A417" s="67"/>
      <c r="B417" s="67"/>
      <c r="C417" s="68"/>
      <c r="F417" s="69"/>
      <c r="G417" s="69"/>
      <c r="H417" s="69"/>
      <c r="I417" s="69"/>
      <c r="J417" s="69"/>
      <c r="K417" s="69"/>
      <c r="L417" s="69"/>
      <c r="M417" s="69"/>
      <c r="N417" s="69"/>
      <c r="O417" s="69"/>
      <c r="P417" s="69"/>
      <c r="Q417" s="69"/>
      <c r="R417" s="69"/>
      <c r="S417" s="69"/>
      <c r="T417" s="69"/>
      <c r="U417" s="69"/>
      <c r="V417" s="69"/>
      <c r="W417" s="81"/>
      <c r="X417" s="69"/>
      <c r="Y417" s="69"/>
      <c r="Z417" s="69"/>
      <c r="AA417" s="69"/>
      <c r="AB417" s="69"/>
    </row>
    <row r="418" spans="1:28">
      <c r="A418" s="67"/>
      <c r="B418" s="67"/>
      <c r="C418" s="68"/>
      <c r="F418" s="69"/>
      <c r="G418" s="69"/>
      <c r="H418" s="69"/>
      <c r="I418" s="69"/>
      <c r="J418" s="69"/>
      <c r="K418" s="69"/>
      <c r="L418" s="69"/>
      <c r="M418" s="69"/>
      <c r="N418" s="69"/>
      <c r="O418" s="69"/>
      <c r="P418" s="69"/>
      <c r="Q418" s="69"/>
      <c r="R418" s="69"/>
      <c r="S418" s="69"/>
      <c r="T418" s="69"/>
      <c r="U418" s="69"/>
      <c r="V418" s="69"/>
      <c r="W418" s="81"/>
      <c r="X418" s="69"/>
      <c r="Y418" s="69"/>
      <c r="Z418" s="69"/>
      <c r="AA418" s="69"/>
      <c r="AB418" s="69"/>
    </row>
    <row r="419" spans="1:28">
      <c r="A419" s="67"/>
      <c r="B419" s="67"/>
      <c r="C419" s="68"/>
      <c r="F419" s="69"/>
      <c r="G419" s="69"/>
      <c r="H419" s="69"/>
      <c r="I419" s="69"/>
      <c r="J419" s="69"/>
      <c r="K419" s="69"/>
      <c r="L419" s="69"/>
      <c r="M419" s="69"/>
      <c r="N419" s="69"/>
      <c r="O419" s="69"/>
      <c r="P419" s="69"/>
      <c r="Q419" s="69"/>
      <c r="R419" s="69"/>
      <c r="S419" s="69"/>
      <c r="T419" s="69"/>
      <c r="U419" s="69"/>
      <c r="V419" s="69"/>
      <c r="W419" s="81"/>
      <c r="X419" s="69"/>
      <c r="Y419" s="69"/>
      <c r="Z419" s="69"/>
      <c r="AA419" s="69"/>
      <c r="AB419" s="69"/>
    </row>
    <row r="420" spans="1:28">
      <c r="A420" s="67"/>
      <c r="B420" s="67"/>
      <c r="C420" s="68"/>
      <c r="F420" s="69"/>
      <c r="G420" s="69"/>
      <c r="H420" s="69"/>
      <c r="I420" s="69"/>
      <c r="J420" s="69"/>
      <c r="K420" s="69"/>
      <c r="L420" s="69"/>
      <c r="M420" s="69"/>
      <c r="N420" s="69"/>
      <c r="O420" s="69"/>
      <c r="P420" s="69"/>
      <c r="Q420" s="69"/>
      <c r="R420" s="69"/>
      <c r="S420" s="69"/>
      <c r="T420" s="69"/>
      <c r="U420" s="69"/>
      <c r="V420" s="69"/>
      <c r="W420" s="81"/>
      <c r="X420" s="69"/>
      <c r="Y420" s="69"/>
      <c r="Z420" s="69"/>
      <c r="AA420" s="69"/>
      <c r="AB420" s="69"/>
    </row>
    <row r="421" spans="1:28">
      <c r="A421" s="67"/>
      <c r="B421" s="67"/>
      <c r="C421" s="68"/>
      <c r="F421" s="69"/>
      <c r="G421" s="69"/>
      <c r="H421" s="69"/>
      <c r="I421" s="69"/>
      <c r="J421" s="69"/>
      <c r="K421" s="69"/>
      <c r="L421" s="69"/>
      <c r="M421" s="69"/>
      <c r="N421" s="69"/>
      <c r="O421" s="69"/>
      <c r="P421" s="69"/>
      <c r="Q421" s="69"/>
      <c r="R421" s="69"/>
      <c r="S421" s="69"/>
      <c r="T421" s="69"/>
      <c r="U421" s="69"/>
      <c r="V421" s="69"/>
      <c r="W421" s="81"/>
      <c r="X421" s="69"/>
      <c r="Y421" s="69"/>
      <c r="Z421" s="69"/>
      <c r="AA421" s="69"/>
      <c r="AB421" s="69"/>
    </row>
    <row r="422" spans="1:28">
      <c r="A422" s="67"/>
      <c r="B422" s="67"/>
      <c r="C422" s="68"/>
      <c r="F422" s="69"/>
      <c r="G422" s="69"/>
      <c r="H422" s="69"/>
      <c r="I422" s="69"/>
      <c r="J422" s="69"/>
      <c r="K422" s="69"/>
      <c r="L422" s="69"/>
      <c r="M422" s="69"/>
      <c r="N422" s="69"/>
      <c r="O422" s="69"/>
      <c r="P422" s="69"/>
      <c r="Q422" s="69"/>
      <c r="R422" s="69"/>
      <c r="S422" s="69"/>
      <c r="T422" s="69"/>
      <c r="U422" s="69"/>
      <c r="V422" s="69"/>
      <c r="W422" s="81"/>
      <c r="X422" s="69"/>
      <c r="Y422" s="69"/>
      <c r="Z422" s="69"/>
      <c r="AA422" s="69"/>
      <c r="AB422" s="69"/>
    </row>
    <row r="423" spans="1:28">
      <c r="A423" s="67"/>
      <c r="B423" s="67"/>
      <c r="C423" s="68"/>
      <c r="F423" s="69"/>
      <c r="G423" s="69"/>
      <c r="H423" s="69"/>
      <c r="I423" s="69"/>
      <c r="J423" s="69"/>
      <c r="K423" s="69"/>
      <c r="L423" s="69"/>
      <c r="M423" s="69"/>
      <c r="N423" s="69"/>
      <c r="O423" s="69"/>
      <c r="P423" s="69"/>
      <c r="Q423" s="69"/>
      <c r="R423" s="69"/>
      <c r="S423" s="69"/>
      <c r="T423" s="69"/>
      <c r="U423" s="69"/>
      <c r="V423" s="69"/>
      <c r="W423" s="81"/>
      <c r="X423" s="69"/>
      <c r="Y423" s="69"/>
      <c r="Z423" s="69"/>
      <c r="AA423" s="69"/>
      <c r="AB423" s="69"/>
    </row>
    <row r="424" spans="1:28">
      <c r="A424" s="67"/>
      <c r="B424" s="67"/>
      <c r="C424" s="68"/>
      <c r="F424" s="69"/>
      <c r="G424" s="69"/>
      <c r="H424" s="69"/>
      <c r="I424" s="69"/>
      <c r="J424" s="69"/>
      <c r="K424" s="69"/>
      <c r="L424" s="69"/>
      <c r="M424" s="69"/>
      <c r="N424" s="69"/>
      <c r="O424" s="69"/>
      <c r="P424" s="69"/>
      <c r="Q424" s="69"/>
      <c r="R424" s="69"/>
      <c r="S424" s="69"/>
      <c r="T424" s="69"/>
      <c r="U424" s="69"/>
      <c r="V424" s="69"/>
      <c r="W424" s="81"/>
      <c r="X424" s="69"/>
      <c r="Y424" s="69"/>
      <c r="Z424" s="69"/>
      <c r="AA424" s="69"/>
      <c r="AB424" s="69"/>
    </row>
    <row r="425" spans="1:28">
      <c r="A425" s="67"/>
      <c r="B425" s="67"/>
      <c r="C425" s="68"/>
      <c r="F425" s="69"/>
      <c r="G425" s="69"/>
      <c r="H425" s="69"/>
      <c r="I425" s="69"/>
      <c r="J425" s="69"/>
      <c r="K425" s="69"/>
      <c r="L425" s="69"/>
      <c r="M425" s="69"/>
      <c r="N425" s="69"/>
      <c r="O425" s="69"/>
      <c r="P425" s="69"/>
      <c r="Q425" s="69"/>
      <c r="R425" s="69"/>
      <c r="S425" s="69"/>
      <c r="T425" s="69"/>
      <c r="U425" s="69"/>
      <c r="V425" s="69"/>
      <c r="W425" s="81"/>
      <c r="X425" s="69"/>
      <c r="Y425" s="69"/>
      <c r="Z425" s="69"/>
      <c r="AA425" s="69"/>
      <c r="AB425" s="69"/>
    </row>
    <row r="426" spans="1:28">
      <c r="A426" s="67"/>
      <c r="B426" s="67"/>
      <c r="C426" s="68"/>
      <c r="F426" s="69"/>
      <c r="G426" s="69"/>
      <c r="H426" s="69"/>
      <c r="I426" s="69"/>
      <c r="J426" s="69"/>
      <c r="K426" s="69"/>
      <c r="L426" s="69"/>
      <c r="M426" s="69"/>
      <c r="N426" s="69"/>
      <c r="O426" s="69"/>
      <c r="P426" s="69"/>
      <c r="Q426" s="69"/>
      <c r="R426" s="69"/>
      <c r="S426" s="69"/>
      <c r="T426" s="69"/>
      <c r="U426" s="69"/>
      <c r="V426" s="69"/>
      <c r="W426" s="81"/>
      <c r="X426" s="69"/>
      <c r="Y426" s="69"/>
      <c r="Z426" s="69"/>
      <c r="AA426" s="69"/>
      <c r="AB426" s="69"/>
    </row>
    <row r="427" spans="1:28">
      <c r="A427" s="67"/>
      <c r="B427" s="67"/>
      <c r="C427" s="68"/>
      <c r="F427" s="69"/>
      <c r="G427" s="69"/>
      <c r="H427" s="69"/>
      <c r="I427" s="69"/>
      <c r="J427" s="69"/>
      <c r="K427" s="69"/>
      <c r="L427" s="69"/>
      <c r="M427" s="69"/>
      <c r="N427" s="69"/>
      <c r="O427" s="69"/>
      <c r="P427" s="69"/>
      <c r="Q427" s="69"/>
      <c r="R427" s="69"/>
      <c r="S427" s="69"/>
      <c r="T427" s="69"/>
      <c r="U427" s="69"/>
      <c r="V427" s="69"/>
      <c r="W427" s="81"/>
      <c r="X427" s="69"/>
      <c r="Y427" s="69"/>
      <c r="Z427" s="69"/>
      <c r="AA427" s="69"/>
      <c r="AB427" s="69"/>
    </row>
    <row r="428" spans="1:28">
      <c r="A428" s="67"/>
      <c r="B428" s="67"/>
      <c r="C428" s="68"/>
      <c r="F428" s="69"/>
      <c r="G428" s="69"/>
      <c r="H428" s="69"/>
      <c r="I428" s="69"/>
      <c r="J428" s="69"/>
      <c r="K428" s="69"/>
      <c r="L428" s="69"/>
      <c r="M428" s="69"/>
      <c r="N428" s="69"/>
      <c r="O428" s="69"/>
      <c r="P428" s="69"/>
      <c r="Q428" s="69"/>
      <c r="R428" s="69"/>
      <c r="S428" s="69"/>
      <c r="T428" s="69"/>
      <c r="U428" s="69"/>
      <c r="V428" s="69"/>
      <c r="W428" s="81"/>
      <c r="X428" s="69"/>
      <c r="Y428" s="69"/>
      <c r="Z428" s="69"/>
      <c r="AA428" s="69"/>
      <c r="AB428" s="69"/>
    </row>
    <row r="429" spans="1:28">
      <c r="A429" s="67"/>
      <c r="B429" s="67"/>
      <c r="C429" s="68"/>
      <c r="F429" s="69"/>
      <c r="G429" s="69"/>
      <c r="H429" s="69"/>
      <c r="I429" s="69"/>
      <c r="J429" s="69"/>
      <c r="K429" s="69"/>
      <c r="L429" s="69"/>
      <c r="M429" s="69"/>
      <c r="N429" s="69"/>
      <c r="O429" s="69"/>
      <c r="P429" s="69"/>
      <c r="Q429" s="69"/>
      <c r="R429" s="69"/>
      <c r="S429" s="69"/>
      <c r="T429" s="69"/>
      <c r="U429" s="69"/>
      <c r="V429" s="69"/>
      <c r="W429" s="81"/>
      <c r="X429" s="69"/>
      <c r="Y429" s="69"/>
      <c r="Z429" s="69"/>
      <c r="AA429" s="69"/>
      <c r="AB429" s="69"/>
    </row>
    <row r="430" spans="1:28">
      <c r="A430" s="67"/>
      <c r="B430" s="67"/>
      <c r="C430" s="68"/>
      <c r="F430" s="69"/>
      <c r="G430" s="69"/>
      <c r="H430" s="69"/>
      <c r="I430" s="69"/>
      <c r="J430" s="69"/>
      <c r="K430" s="69"/>
      <c r="L430" s="69"/>
      <c r="M430" s="69"/>
      <c r="N430" s="69"/>
      <c r="O430" s="69"/>
      <c r="P430" s="69"/>
      <c r="Q430" s="69"/>
      <c r="R430" s="69"/>
      <c r="S430" s="69"/>
      <c r="T430" s="69"/>
      <c r="U430" s="69"/>
      <c r="V430" s="69"/>
      <c r="W430" s="81"/>
      <c r="X430" s="69"/>
      <c r="Y430" s="69"/>
      <c r="Z430" s="69"/>
      <c r="AA430" s="69"/>
      <c r="AB430" s="69"/>
    </row>
    <row r="431" spans="1:28">
      <c r="A431" s="67"/>
      <c r="B431" s="67"/>
      <c r="C431" s="68"/>
      <c r="F431" s="69"/>
      <c r="G431" s="69"/>
      <c r="H431" s="69"/>
      <c r="I431" s="69"/>
      <c r="J431" s="69"/>
      <c r="K431" s="69"/>
      <c r="L431" s="69"/>
      <c r="M431" s="69"/>
      <c r="N431" s="69"/>
      <c r="O431" s="69"/>
      <c r="P431" s="69"/>
      <c r="Q431" s="69"/>
      <c r="R431" s="69"/>
      <c r="S431" s="69"/>
      <c r="T431" s="69"/>
      <c r="U431" s="69"/>
      <c r="V431" s="69"/>
      <c r="W431" s="81"/>
      <c r="X431" s="69"/>
      <c r="Y431" s="69"/>
      <c r="Z431" s="69"/>
      <c r="AA431" s="69"/>
      <c r="AB431" s="69"/>
    </row>
    <row r="432" spans="1:28">
      <c r="A432" s="67"/>
      <c r="B432" s="67"/>
      <c r="C432" s="68"/>
      <c r="F432" s="69"/>
      <c r="G432" s="69"/>
      <c r="H432" s="69"/>
      <c r="I432" s="69"/>
      <c r="J432" s="69"/>
      <c r="K432" s="69"/>
      <c r="L432" s="69"/>
      <c r="M432" s="69"/>
      <c r="N432" s="69"/>
      <c r="O432" s="69"/>
      <c r="P432" s="69"/>
      <c r="Q432" s="69"/>
      <c r="R432" s="69"/>
      <c r="S432" s="69"/>
      <c r="T432" s="69"/>
      <c r="U432" s="69"/>
      <c r="V432" s="69"/>
      <c r="W432" s="81"/>
      <c r="X432" s="69"/>
      <c r="Y432" s="69"/>
      <c r="Z432" s="69"/>
      <c r="AA432" s="69"/>
      <c r="AB432" s="69"/>
    </row>
    <row r="433" spans="1:28">
      <c r="A433" s="67"/>
      <c r="B433" s="67"/>
      <c r="C433" s="68"/>
      <c r="F433" s="69"/>
      <c r="G433" s="69"/>
      <c r="H433" s="69"/>
      <c r="I433" s="69"/>
      <c r="J433" s="69"/>
      <c r="K433" s="69"/>
      <c r="L433" s="69"/>
      <c r="M433" s="69"/>
      <c r="N433" s="69"/>
      <c r="O433" s="69"/>
      <c r="P433" s="69"/>
      <c r="Q433" s="69"/>
      <c r="R433" s="69"/>
      <c r="S433" s="69"/>
      <c r="T433" s="69"/>
      <c r="U433" s="69"/>
      <c r="V433" s="69"/>
      <c r="W433" s="81"/>
      <c r="X433" s="69"/>
      <c r="Y433" s="69"/>
      <c r="Z433" s="69"/>
      <c r="AA433" s="69"/>
      <c r="AB433" s="69"/>
    </row>
    <row r="434" spans="1:28">
      <c r="A434" s="67"/>
      <c r="B434" s="67"/>
      <c r="C434" s="68"/>
      <c r="F434" s="69"/>
      <c r="G434" s="69"/>
      <c r="H434" s="69"/>
      <c r="I434" s="69"/>
      <c r="J434" s="69"/>
      <c r="K434" s="69"/>
      <c r="L434" s="69"/>
      <c r="M434" s="69"/>
      <c r="N434" s="69"/>
      <c r="O434" s="69"/>
      <c r="P434" s="69"/>
      <c r="Q434" s="69"/>
      <c r="R434" s="69"/>
      <c r="S434" s="69"/>
      <c r="T434" s="69"/>
      <c r="U434" s="69"/>
      <c r="V434" s="69"/>
      <c r="W434" s="81"/>
      <c r="X434" s="69"/>
      <c r="Y434" s="69"/>
      <c r="Z434" s="69"/>
      <c r="AA434" s="69"/>
      <c r="AB434" s="69"/>
    </row>
    <row r="435" spans="1:28">
      <c r="A435" s="67"/>
      <c r="B435" s="67"/>
      <c r="C435" s="68"/>
      <c r="F435" s="69"/>
      <c r="G435" s="69"/>
      <c r="H435" s="69"/>
      <c r="I435" s="69"/>
      <c r="J435" s="69"/>
      <c r="K435" s="69"/>
      <c r="L435" s="69"/>
      <c r="M435" s="69"/>
      <c r="N435" s="69"/>
      <c r="O435" s="69"/>
      <c r="P435" s="69"/>
      <c r="Q435" s="69"/>
      <c r="R435" s="69"/>
      <c r="S435" s="69"/>
      <c r="T435" s="69"/>
      <c r="U435" s="69"/>
      <c r="V435" s="69"/>
      <c r="W435" s="81"/>
      <c r="X435" s="69"/>
      <c r="Y435" s="69"/>
      <c r="Z435" s="69"/>
      <c r="AA435" s="69"/>
      <c r="AB435" s="69"/>
    </row>
    <row r="436" spans="1:28">
      <c r="A436" s="67"/>
      <c r="B436" s="67"/>
      <c r="C436" s="68"/>
      <c r="F436" s="69"/>
      <c r="G436" s="69"/>
      <c r="H436" s="69"/>
      <c r="I436" s="69"/>
      <c r="J436" s="69"/>
      <c r="K436" s="69"/>
      <c r="L436" s="69"/>
      <c r="M436" s="69"/>
      <c r="N436" s="69"/>
      <c r="O436" s="69"/>
      <c r="P436" s="69"/>
      <c r="Q436" s="69"/>
      <c r="R436" s="69"/>
      <c r="S436" s="69"/>
      <c r="T436" s="69"/>
      <c r="U436" s="69"/>
      <c r="V436" s="69"/>
      <c r="W436" s="81"/>
      <c r="X436" s="69"/>
      <c r="Y436" s="69"/>
      <c r="Z436" s="69"/>
      <c r="AA436" s="69"/>
      <c r="AB436" s="69"/>
    </row>
    <row r="437" spans="1:28">
      <c r="A437" s="67"/>
      <c r="B437" s="67"/>
      <c r="C437" s="68"/>
      <c r="F437" s="69"/>
      <c r="G437" s="69"/>
      <c r="H437" s="69"/>
      <c r="I437" s="69"/>
      <c r="J437" s="69"/>
      <c r="K437" s="69"/>
      <c r="L437" s="69"/>
      <c r="M437" s="69"/>
      <c r="N437" s="69"/>
      <c r="O437" s="69"/>
      <c r="P437" s="69"/>
      <c r="Q437" s="69"/>
      <c r="R437" s="69"/>
      <c r="S437" s="69"/>
      <c r="T437" s="69"/>
      <c r="U437" s="69"/>
      <c r="V437" s="69"/>
      <c r="W437" s="81"/>
      <c r="X437" s="69"/>
      <c r="Y437" s="69"/>
      <c r="Z437" s="69"/>
      <c r="AA437" s="69"/>
      <c r="AB437" s="69"/>
    </row>
    <row r="438" spans="1:28">
      <c r="A438" s="67"/>
      <c r="B438" s="67"/>
      <c r="C438" s="68"/>
      <c r="F438" s="69"/>
      <c r="G438" s="69"/>
      <c r="H438" s="69"/>
      <c r="I438" s="69"/>
      <c r="J438" s="69"/>
      <c r="K438" s="69"/>
      <c r="L438" s="69"/>
      <c r="M438" s="69"/>
      <c r="N438" s="69"/>
      <c r="O438" s="69"/>
      <c r="P438" s="69"/>
      <c r="Q438" s="69"/>
      <c r="R438" s="69"/>
      <c r="S438" s="69"/>
      <c r="T438" s="69"/>
      <c r="U438" s="69"/>
      <c r="V438" s="69"/>
      <c r="W438" s="81"/>
      <c r="X438" s="69"/>
      <c r="Y438" s="69"/>
      <c r="Z438" s="69"/>
      <c r="AA438" s="69"/>
      <c r="AB438" s="69"/>
    </row>
    <row r="439" spans="1:28">
      <c r="A439" s="67"/>
      <c r="B439" s="67"/>
      <c r="C439" s="68"/>
      <c r="F439" s="69"/>
      <c r="G439" s="69"/>
      <c r="H439" s="69"/>
      <c r="I439" s="69"/>
      <c r="J439" s="69"/>
      <c r="K439" s="69"/>
      <c r="L439" s="69"/>
      <c r="M439" s="69"/>
      <c r="N439" s="69"/>
      <c r="O439" s="69"/>
      <c r="P439" s="69"/>
      <c r="Q439" s="69"/>
      <c r="R439" s="69"/>
      <c r="S439" s="69"/>
      <c r="T439" s="69"/>
      <c r="U439" s="69"/>
      <c r="V439" s="69"/>
      <c r="W439" s="81"/>
      <c r="X439" s="69"/>
      <c r="Y439" s="69"/>
      <c r="Z439" s="69"/>
      <c r="AA439" s="69"/>
      <c r="AB439" s="69"/>
    </row>
    <row r="440" spans="1:28">
      <c r="A440" s="67"/>
      <c r="B440" s="67"/>
      <c r="C440" s="68"/>
      <c r="F440" s="69"/>
      <c r="G440" s="69"/>
      <c r="H440" s="69"/>
      <c r="I440" s="69"/>
      <c r="J440" s="69"/>
      <c r="K440" s="69"/>
      <c r="L440" s="69"/>
      <c r="M440" s="69"/>
      <c r="N440" s="69"/>
      <c r="O440" s="69"/>
      <c r="P440" s="69"/>
      <c r="Q440" s="69"/>
      <c r="R440" s="69"/>
      <c r="S440" s="69"/>
      <c r="T440" s="69"/>
      <c r="U440" s="69"/>
      <c r="V440" s="69"/>
      <c r="W440" s="81"/>
      <c r="X440" s="69"/>
      <c r="Y440" s="69"/>
      <c r="Z440" s="69"/>
      <c r="AA440" s="69"/>
      <c r="AB440" s="69"/>
    </row>
    <row r="441" spans="1:28">
      <c r="A441" s="67"/>
      <c r="B441" s="67"/>
      <c r="C441" s="68"/>
      <c r="F441" s="69"/>
      <c r="G441" s="69"/>
      <c r="H441" s="69"/>
      <c r="I441" s="69"/>
      <c r="J441" s="69"/>
      <c r="K441" s="69"/>
      <c r="L441" s="69"/>
      <c r="M441" s="69"/>
      <c r="N441" s="69"/>
      <c r="O441" s="69"/>
      <c r="P441" s="69"/>
      <c r="Q441" s="69"/>
      <c r="R441" s="69"/>
      <c r="S441" s="69"/>
      <c r="T441" s="69"/>
      <c r="U441" s="69"/>
      <c r="V441" s="69"/>
      <c r="W441" s="81"/>
      <c r="X441" s="69"/>
      <c r="Y441" s="69"/>
      <c r="Z441" s="69"/>
      <c r="AA441" s="69"/>
      <c r="AB441" s="69"/>
    </row>
    <row r="442" spans="1:28">
      <c r="A442" s="67"/>
      <c r="B442" s="67"/>
      <c r="C442" s="68"/>
      <c r="F442" s="69"/>
      <c r="G442" s="69"/>
      <c r="H442" s="69"/>
      <c r="I442" s="69"/>
      <c r="J442" s="69"/>
      <c r="K442" s="69"/>
      <c r="L442" s="69"/>
      <c r="M442" s="69"/>
      <c r="N442" s="69"/>
      <c r="O442" s="69"/>
      <c r="P442" s="69"/>
      <c r="Q442" s="69"/>
      <c r="R442" s="69"/>
      <c r="S442" s="69"/>
      <c r="T442" s="69"/>
      <c r="U442" s="69"/>
      <c r="V442" s="69"/>
      <c r="W442" s="81"/>
      <c r="X442" s="69"/>
      <c r="Y442" s="69"/>
      <c r="Z442" s="69"/>
      <c r="AA442" s="69"/>
      <c r="AB442" s="69"/>
    </row>
    <row r="443" spans="1:28">
      <c r="A443" s="67"/>
      <c r="B443" s="67"/>
      <c r="C443" s="68"/>
      <c r="F443" s="69"/>
      <c r="G443" s="69"/>
      <c r="H443" s="69"/>
      <c r="I443" s="69"/>
      <c r="J443" s="69"/>
      <c r="K443" s="69"/>
      <c r="L443" s="69"/>
      <c r="M443" s="69"/>
      <c r="N443" s="69"/>
      <c r="O443" s="69"/>
      <c r="P443" s="69"/>
      <c r="Q443" s="69"/>
      <c r="R443" s="69"/>
      <c r="S443" s="69"/>
      <c r="T443" s="69"/>
      <c r="U443" s="69"/>
      <c r="V443" s="69"/>
      <c r="W443" s="81"/>
      <c r="X443" s="69"/>
      <c r="Y443" s="69"/>
      <c r="Z443" s="69"/>
      <c r="AA443" s="69"/>
      <c r="AB443" s="69"/>
    </row>
    <row r="444" spans="1:28">
      <c r="A444" s="67"/>
      <c r="B444" s="67"/>
      <c r="C444" s="68"/>
      <c r="F444" s="69"/>
      <c r="G444" s="69"/>
      <c r="H444" s="69"/>
      <c r="I444" s="69"/>
      <c r="J444" s="69"/>
      <c r="K444" s="69"/>
      <c r="L444" s="69"/>
      <c r="M444" s="69"/>
      <c r="N444" s="69"/>
      <c r="O444" s="69"/>
      <c r="P444" s="69"/>
      <c r="Q444" s="69"/>
      <c r="R444" s="69"/>
      <c r="S444" s="69"/>
      <c r="T444" s="69"/>
      <c r="U444" s="69"/>
      <c r="V444" s="69"/>
      <c r="W444" s="81"/>
      <c r="X444" s="69"/>
      <c r="Y444" s="69"/>
      <c r="Z444" s="69"/>
      <c r="AA444" s="69"/>
      <c r="AB444" s="69"/>
    </row>
    <row r="445" spans="1:28">
      <c r="A445" s="67"/>
      <c r="B445" s="67"/>
      <c r="C445" s="68"/>
      <c r="F445" s="69"/>
      <c r="G445" s="69"/>
      <c r="H445" s="69"/>
      <c r="I445" s="69"/>
      <c r="J445" s="69"/>
      <c r="K445" s="69"/>
      <c r="L445" s="69"/>
      <c r="M445" s="69"/>
      <c r="N445" s="69"/>
      <c r="O445" s="69"/>
      <c r="P445" s="69"/>
      <c r="Q445" s="69"/>
      <c r="R445" s="69"/>
      <c r="S445" s="69"/>
      <c r="T445" s="69"/>
      <c r="U445" s="69"/>
      <c r="V445" s="69"/>
      <c r="W445" s="81"/>
      <c r="X445" s="69"/>
      <c r="Y445" s="69"/>
      <c r="Z445" s="69"/>
      <c r="AA445" s="69"/>
      <c r="AB445" s="69"/>
    </row>
    <row r="446" spans="1:28">
      <c r="A446" s="67"/>
      <c r="B446" s="67"/>
      <c r="C446" s="68"/>
      <c r="F446" s="69"/>
      <c r="G446" s="69"/>
      <c r="H446" s="69"/>
      <c r="I446" s="69"/>
      <c r="J446" s="69"/>
      <c r="K446" s="69"/>
      <c r="L446" s="69"/>
      <c r="M446" s="69"/>
      <c r="N446" s="69"/>
      <c r="O446" s="69"/>
      <c r="P446" s="69"/>
      <c r="Q446" s="69"/>
      <c r="R446" s="69"/>
      <c r="S446" s="69"/>
      <c r="T446" s="69"/>
      <c r="U446" s="69"/>
      <c r="V446" s="69"/>
      <c r="W446" s="81"/>
      <c r="X446" s="69"/>
      <c r="Y446" s="69"/>
      <c r="Z446" s="69"/>
      <c r="AA446" s="69"/>
      <c r="AB446" s="69"/>
    </row>
    <row r="447" spans="1:28">
      <c r="A447" s="67"/>
      <c r="B447" s="67"/>
      <c r="C447" s="68"/>
      <c r="F447" s="69"/>
      <c r="G447" s="69"/>
      <c r="H447" s="69"/>
      <c r="I447" s="69"/>
      <c r="J447" s="69"/>
      <c r="K447" s="69"/>
      <c r="L447" s="69"/>
      <c r="M447" s="69"/>
      <c r="N447" s="69"/>
      <c r="O447" s="69"/>
      <c r="P447" s="69"/>
      <c r="Q447" s="69"/>
      <c r="R447" s="69"/>
      <c r="S447" s="69"/>
      <c r="T447" s="69"/>
      <c r="U447" s="69"/>
      <c r="V447" s="69"/>
      <c r="W447" s="81"/>
      <c r="X447" s="69"/>
      <c r="Y447" s="69"/>
      <c r="Z447" s="69"/>
      <c r="AA447" s="69"/>
      <c r="AB447" s="69"/>
    </row>
    <row r="448" spans="1:28">
      <c r="A448" s="67"/>
      <c r="B448" s="67"/>
      <c r="C448" s="68"/>
      <c r="F448" s="69"/>
      <c r="G448" s="69"/>
      <c r="H448" s="69"/>
      <c r="I448" s="69"/>
      <c r="J448" s="69"/>
      <c r="K448" s="69"/>
      <c r="L448" s="69"/>
      <c r="M448" s="69"/>
      <c r="N448" s="69"/>
      <c r="O448" s="69"/>
      <c r="P448" s="69"/>
      <c r="Q448" s="69"/>
      <c r="R448" s="69"/>
      <c r="S448" s="69"/>
      <c r="T448" s="69"/>
      <c r="U448" s="69"/>
      <c r="V448" s="69"/>
      <c r="W448" s="81"/>
      <c r="X448" s="69"/>
      <c r="Y448" s="69"/>
      <c r="Z448" s="69"/>
      <c r="AA448" s="69"/>
      <c r="AB448" s="69"/>
    </row>
    <row r="449" spans="1:28">
      <c r="A449" s="67"/>
      <c r="B449" s="67"/>
      <c r="C449" s="68"/>
      <c r="F449" s="69"/>
      <c r="G449" s="69"/>
      <c r="H449" s="69"/>
      <c r="I449" s="69"/>
      <c r="J449" s="69"/>
      <c r="K449" s="69"/>
      <c r="L449" s="69"/>
      <c r="M449" s="69"/>
      <c r="N449" s="69"/>
      <c r="O449" s="69"/>
      <c r="P449" s="69"/>
      <c r="Q449" s="69"/>
      <c r="R449" s="69"/>
      <c r="S449" s="69"/>
      <c r="T449" s="69"/>
      <c r="U449" s="69"/>
      <c r="V449" s="69"/>
      <c r="W449" s="81"/>
      <c r="X449" s="69"/>
      <c r="Y449" s="69"/>
      <c r="Z449" s="69"/>
      <c r="AA449" s="69"/>
      <c r="AB449" s="69"/>
    </row>
    <row r="450" spans="1:28">
      <c r="A450" s="67"/>
      <c r="B450" s="67"/>
      <c r="C450" s="68"/>
      <c r="F450" s="69"/>
      <c r="G450" s="69"/>
      <c r="H450" s="69"/>
      <c r="I450" s="69"/>
      <c r="J450" s="69"/>
      <c r="K450" s="69"/>
      <c r="L450" s="69"/>
      <c r="M450" s="69"/>
      <c r="N450" s="69"/>
      <c r="O450" s="69"/>
      <c r="P450" s="69"/>
      <c r="Q450" s="69"/>
      <c r="R450" s="69"/>
      <c r="S450" s="69"/>
      <c r="T450" s="69"/>
      <c r="U450" s="69"/>
      <c r="V450" s="69"/>
      <c r="W450" s="81"/>
      <c r="X450" s="69"/>
      <c r="Y450" s="69"/>
      <c r="Z450" s="69"/>
      <c r="AA450" s="69"/>
      <c r="AB450" s="69"/>
    </row>
    <row r="451" spans="1:28">
      <c r="A451" s="67"/>
      <c r="B451" s="67"/>
      <c r="C451" s="68"/>
      <c r="F451" s="69"/>
      <c r="G451" s="69"/>
      <c r="H451" s="69"/>
      <c r="I451" s="69"/>
      <c r="J451" s="69"/>
      <c r="K451" s="69"/>
      <c r="L451" s="69"/>
      <c r="M451" s="69"/>
      <c r="N451" s="69"/>
      <c r="O451" s="69"/>
      <c r="P451" s="69"/>
      <c r="Q451" s="69"/>
      <c r="R451" s="69"/>
      <c r="S451" s="69"/>
      <c r="T451" s="69"/>
      <c r="U451" s="69"/>
      <c r="V451" s="69"/>
      <c r="W451" s="81"/>
      <c r="X451" s="69"/>
      <c r="Y451" s="69"/>
      <c r="Z451" s="69"/>
      <c r="AA451" s="69"/>
      <c r="AB451" s="69"/>
    </row>
    <row r="452" spans="1:28">
      <c r="A452" s="67"/>
      <c r="B452" s="67"/>
      <c r="C452" s="68"/>
      <c r="F452" s="69"/>
      <c r="G452" s="69"/>
      <c r="H452" s="69"/>
      <c r="I452" s="69"/>
      <c r="J452" s="69"/>
      <c r="K452" s="69"/>
      <c r="L452" s="69"/>
      <c r="M452" s="69"/>
      <c r="N452" s="69"/>
      <c r="O452" s="69"/>
      <c r="P452" s="69"/>
      <c r="Q452" s="69"/>
      <c r="R452" s="69"/>
      <c r="S452" s="69"/>
      <c r="T452" s="69"/>
      <c r="U452" s="69"/>
      <c r="V452" s="69"/>
      <c r="W452" s="81"/>
      <c r="X452" s="69"/>
      <c r="Y452" s="69"/>
      <c r="Z452" s="69"/>
      <c r="AA452" s="69"/>
      <c r="AB452" s="69"/>
    </row>
    <row r="453" spans="1:28">
      <c r="A453" s="67"/>
      <c r="B453" s="67"/>
      <c r="C453" s="68"/>
      <c r="F453" s="69"/>
      <c r="G453" s="69"/>
      <c r="H453" s="69"/>
      <c r="I453" s="69"/>
      <c r="J453" s="69"/>
      <c r="K453" s="69"/>
      <c r="L453" s="69"/>
      <c r="M453" s="69"/>
      <c r="N453" s="69"/>
      <c r="O453" s="69"/>
      <c r="P453" s="69"/>
      <c r="Q453" s="69"/>
      <c r="R453" s="69"/>
      <c r="S453" s="69"/>
      <c r="T453" s="69"/>
      <c r="U453" s="69"/>
      <c r="V453" s="69"/>
      <c r="W453" s="81"/>
      <c r="X453" s="69"/>
      <c r="Y453" s="69"/>
      <c r="Z453" s="69"/>
      <c r="AA453" s="69"/>
      <c r="AB453" s="69"/>
    </row>
    <row r="454" spans="1:28">
      <c r="A454" s="67"/>
      <c r="B454" s="67"/>
      <c r="C454" s="68"/>
      <c r="F454" s="69"/>
      <c r="G454" s="69"/>
      <c r="H454" s="69"/>
      <c r="I454" s="69"/>
      <c r="J454" s="69"/>
      <c r="K454" s="69"/>
      <c r="L454" s="69"/>
      <c r="M454" s="69"/>
      <c r="N454" s="69"/>
      <c r="O454" s="69"/>
      <c r="P454" s="69"/>
      <c r="Q454" s="69"/>
      <c r="R454" s="69"/>
      <c r="S454" s="69"/>
      <c r="T454" s="69"/>
      <c r="U454" s="69"/>
      <c r="V454" s="69"/>
      <c r="W454" s="81"/>
      <c r="X454" s="69"/>
      <c r="Y454" s="69"/>
      <c r="Z454" s="69"/>
      <c r="AA454" s="69"/>
      <c r="AB454" s="69"/>
    </row>
    <row r="455" spans="1:28">
      <c r="A455" s="67"/>
      <c r="B455" s="67"/>
      <c r="C455" s="68"/>
      <c r="F455" s="69"/>
      <c r="G455" s="69"/>
      <c r="H455" s="69"/>
      <c r="I455" s="69"/>
      <c r="J455" s="69"/>
      <c r="K455" s="69"/>
      <c r="L455" s="69"/>
      <c r="M455" s="69"/>
      <c r="N455" s="69"/>
      <c r="O455" s="69"/>
      <c r="P455" s="69"/>
      <c r="Q455" s="69"/>
      <c r="R455" s="69"/>
      <c r="S455" s="69"/>
      <c r="T455" s="69"/>
      <c r="U455" s="69"/>
      <c r="V455" s="69"/>
      <c r="W455" s="81"/>
      <c r="X455" s="69"/>
      <c r="Y455" s="69"/>
      <c r="Z455" s="69"/>
      <c r="AA455" s="69"/>
      <c r="AB455" s="69"/>
    </row>
    <row r="456" spans="1:28">
      <c r="A456" s="67"/>
      <c r="B456" s="67"/>
      <c r="C456" s="68"/>
      <c r="F456" s="69"/>
      <c r="G456" s="69"/>
      <c r="H456" s="69"/>
      <c r="I456" s="69"/>
      <c r="J456" s="69"/>
      <c r="K456" s="69"/>
      <c r="L456" s="69"/>
      <c r="M456" s="69"/>
      <c r="N456" s="69"/>
      <c r="O456" s="69"/>
      <c r="P456" s="69"/>
      <c r="Q456" s="69"/>
      <c r="R456" s="69"/>
      <c r="S456" s="69"/>
      <c r="T456" s="69"/>
      <c r="U456" s="69"/>
      <c r="V456" s="69"/>
      <c r="W456" s="81"/>
      <c r="X456" s="69"/>
      <c r="Y456" s="69"/>
      <c r="Z456" s="69"/>
      <c r="AA456" s="69"/>
      <c r="AB456" s="69"/>
    </row>
    <row r="457" spans="1:28">
      <c r="A457" s="67"/>
      <c r="B457" s="67"/>
      <c r="C457" s="68"/>
      <c r="F457" s="69"/>
      <c r="G457" s="69"/>
      <c r="H457" s="69"/>
      <c r="I457" s="69"/>
      <c r="J457" s="69"/>
      <c r="K457" s="69"/>
      <c r="L457" s="69"/>
      <c r="M457" s="69"/>
      <c r="N457" s="69"/>
      <c r="O457" s="69"/>
      <c r="P457" s="69"/>
      <c r="Q457" s="69"/>
      <c r="R457" s="69"/>
      <c r="S457" s="69"/>
      <c r="T457" s="69"/>
      <c r="U457" s="69"/>
      <c r="V457" s="69"/>
      <c r="W457" s="81"/>
      <c r="X457" s="69"/>
      <c r="Y457" s="69"/>
      <c r="Z457" s="69"/>
      <c r="AA457" s="69"/>
      <c r="AB457" s="69"/>
    </row>
    <row r="458" spans="1:28">
      <c r="A458" s="67"/>
      <c r="B458" s="67"/>
      <c r="C458" s="68"/>
      <c r="F458" s="69"/>
      <c r="G458" s="69"/>
      <c r="H458" s="69"/>
      <c r="I458" s="69"/>
      <c r="J458" s="69"/>
      <c r="K458" s="69"/>
      <c r="L458" s="69"/>
      <c r="M458" s="69"/>
      <c r="N458" s="69"/>
      <c r="O458" s="69"/>
      <c r="P458" s="69"/>
      <c r="Q458" s="69"/>
      <c r="R458" s="69"/>
      <c r="S458" s="69"/>
      <c r="T458" s="69"/>
      <c r="U458" s="69"/>
      <c r="V458" s="69"/>
      <c r="W458" s="81"/>
      <c r="X458" s="69"/>
      <c r="Y458" s="69"/>
      <c r="Z458" s="69"/>
      <c r="AA458" s="69"/>
      <c r="AB458" s="69"/>
    </row>
    <row r="459" spans="1:28">
      <c r="A459" s="67"/>
      <c r="B459" s="67"/>
      <c r="C459" s="68"/>
      <c r="F459" s="69"/>
      <c r="G459" s="69"/>
      <c r="H459" s="69"/>
      <c r="I459" s="69"/>
      <c r="J459" s="69"/>
      <c r="K459" s="69"/>
      <c r="L459" s="69"/>
      <c r="M459" s="69"/>
      <c r="N459" s="69"/>
      <c r="O459" s="69"/>
      <c r="P459" s="69"/>
      <c r="Q459" s="69"/>
      <c r="R459" s="69"/>
      <c r="S459" s="69"/>
      <c r="T459" s="69"/>
      <c r="U459" s="69"/>
      <c r="V459" s="69"/>
      <c r="W459" s="81"/>
      <c r="X459" s="69"/>
      <c r="Y459" s="69"/>
      <c r="Z459" s="69"/>
      <c r="AA459" s="69"/>
      <c r="AB459" s="69"/>
    </row>
    <row r="460" spans="1:28">
      <c r="A460" s="67"/>
      <c r="B460" s="67"/>
      <c r="C460" s="68"/>
      <c r="F460" s="69"/>
      <c r="G460" s="69"/>
      <c r="H460" s="69"/>
      <c r="I460" s="69"/>
      <c r="J460" s="69"/>
      <c r="K460" s="69"/>
      <c r="L460" s="69"/>
      <c r="M460" s="69"/>
      <c r="N460" s="69"/>
      <c r="O460" s="69"/>
      <c r="P460" s="69"/>
      <c r="Q460" s="69"/>
      <c r="R460" s="69"/>
      <c r="S460" s="69"/>
      <c r="T460" s="69"/>
      <c r="U460" s="69"/>
      <c r="V460" s="69"/>
      <c r="W460" s="81"/>
      <c r="X460" s="69"/>
      <c r="Y460" s="69"/>
      <c r="Z460" s="69"/>
      <c r="AA460" s="69"/>
      <c r="AB460" s="69"/>
    </row>
    <row r="461" spans="1:28">
      <c r="A461" s="67"/>
      <c r="B461" s="67"/>
      <c r="C461" s="68"/>
      <c r="F461" s="69"/>
      <c r="G461" s="69"/>
      <c r="H461" s="69"/>
      <c r="I461" s="69"/>
      <c r="J461" s="69"/>
      <c r="K461" s="69"/>
      <c r="L461" s="69"/>
      <c r="M461" s="69"/>
      <c r="N461" s="69"/>
      <c r="O461" s="69"/>
      <c r="P461" s="69"/>
      <c r="Q461" s="69"/>
      <c r="R461" s="69"/>
      <c r="S461" s="69"/>
      <c r="T461" s="69"/>
      <c r="U461" s="69"/>
      <c r="V461" s="69"/>
      <c r="W461" s="81"/>
      <c r="X461" s="69"/>
      <c r="Y461" s="69"/>
      <c r="Z461" s="69"/>
      <c r="AA461" s="69"/>
      <c r="AB461" s="69"/>
    </row>
    <row r="462" spans="1:28">
      <c r="A462" s="67"/>
      <c r="B462" s="67"/>
      <c r="C462" s="68"/>
      <c r="F462" s="69"/>
      <c r="G462" s="69"/>
      <c r="H462" s="69"/>
      <c r="I462" s="69"/>
      <c r="J462" s="69"/>
      <c r="K462" s="69"/>
      <c r="L462" s="69"/>
      <c r="M462" s="69"/>
      <c r="N462" s="69"/>
      <c r="O462" s="69"/>
      <c r="P462" s="69"/>
      <c r="Q462" s="69"/>
      <c r="R462" s="69"/>
      <c r="S462" s="69"/>
      <c r="T462" s="69"/>
      <c r="U462" s="69"/>
      <c r="V462" s="69"/>
      <c r="W462" s="81"/>
      <c r="X462" s="69"/>
      <c r="Y462" s="69"/>
      <c r="Z462" s="69"/>
      <c r="AA462" s="69"/>
      <c r="AB462" s="69"/>
    </row>
    <row r="463" spans="1:28">
      <c r="A463" s="67"/>
      <c r="B463" s="67"/>
      <c r="C463" s="68"/>
      <c r="F463" s="69"/>
      <c r="G463" s="69"/>
      <c r="H463" s="69"/>
      <c r="I463" s="69"/>
      <c r="J463" s="69"/>
      <c r="K463" s="69"/>
      <c r="L463" s="69"/>
      <c r="M463" s="69"/>
      <c r="N463" s="69"/>
      <c r="O463" s="69"/>
      <c r="P463" s="69"/>
      <c r="Q463" s="69"/>
      <c r="R463" s="69"/>
      <c r="S463" s="69"/>
      <c r="T463" s="69"/>
      <c r="U463" s="69"/>
      <c r="V463" s="69"/>
      <c r="W463" s="81"/>
      <c r="X463" s="69"/>
      <c r="Y463" s="69"/>
      <c r="Z463" s="69"/>
      <c r="AA463" s="69"/>
      <c r="AB463" s="69"/>
    </row>
    <row r="464" spans="1:28">
      <c r="A464" s="67"/>
      <c r="B464" s="67"/>
      <c r="C464" s="68"/>
      <c r="F464" s="69"/>
      <c r="G464" s="69"/>
      <c r="H464" s="69"/>
      <c r="I464" s="69"/>
      <c r="J464" s="69"/>
      <c r="K464" s="69"/>
      <c r="L464" s="69"/>
      <c r="M464" s="69"/>
      <c r="N464" s="69"/>
      <c r="O464" s="69"/>
      <c r="P464" s="69"/>
      <c r="Q464" s="69"/>
      <c r="R464" s="69"/>
      <c r="S464" s="69"/>
      <c r="T464" s="69"/>
      <c r="U464" s="69"/>
      <c r="V464" s="69"/>
      <c r="W464" s="81"/>
      <c r="X464" s="69"/>
      <c r="Y464" s="69"/>
      <c r="Z464" s="69"/>
      <c r="AA464" s="69"/>
      <c r="AB464" s="69"/>
    </row>
    <row r="465" spans="1:28">
      <c r="A465" s="67"/>
      <c r="B465" s="67"/>
      <c r="C465" s="68"/>
      <c r="F465" s="69"/>
      <c r="G465" s="69"/>
      <c r="H465" s="69"/>
      <c r="I465" s="69"/>
      <c r="J465" s="69"/>
      <c r="K465" s="69"/>
      <c r="L465" s="69"/>
      <c r="M465" s="69"/>
      <c r="N465" s="69"/>
      <c r="O465" s="69"/>
      <c r="P465" s="69"/>
      <c r="Q465" s="69"/>
      <c r="R465" s="69"/>
      <c r="S465" s="69"/>
      <c r="T465" s="69"/>
      <c r="U465" s="69"/>
      <c r="V465" s="69"/>
      <c r="W465" s="81"/>
      <c r="X465" s="69"/>
      <c r="Y465" s="69"/>
      <c r="Z465" s="69"/>
      <c r="AA465" s="69"/>
      <c r="AB465" s="69"/>
    </row>
    <row r="466" spans="1:28">
      <c r="A466" s="67"/>
      <c r="B466" s="67"/>
      <c r="C466" s="68"/>
      <c r="F466" s="69"/>
      <c r="G466" s="69"/>
      <c r="H466" s="69"/>
      <c r="I466" s="69"/>
      <c r="J466" s="69"/>
      <c r="K466" s="69"/>
      <c r="L466" s="69"/>
      <c r="M466" s="69"/>
      <c r="N466" s="69"/>
      <c r="O466" s="69"/>
      <c r="P466" s="69"/>
      <c r="Q466" s="69"/>
      <c r="R466" s="69"/>
      <c r="S466" s="69"/>
      <c r="T466" s="69"/>
      <c r="U466" s="69"/>
      <c r="V466" s="69"/>
      <c r="W466" s="81"/>
      <c r="X466" s="69"/>
      <c r="Y466" s="69"/>
      <c r="Z466" s="69"/>
      <c r="AA466" s="69"/>
      <c r="AB466" s="69"/>
    </row>
    <row r="467" spans="1:28">
      <c r="A467" s="67"/>
      <c r="B467" s="67"/>
      <c r="C467" s="68"/>
      <c r="F467" s="69"/>
      <c r="G467" s="69"/>
      <c r="H467" s="69"/>
      <c r="I467" s="69"/>
      <c r="J467" s="69"/>
      <c r="K467" s="69"/>
      <c r="L467" s="69"/>
      <c r="M467" s="69"/>
      <c r="N467" s="69"/>
      <c r="O467" s="69"/>
      <c r="P467" s="69"/>
      <c r="Q467" s="69"/>
      <c r="R467" s="69"/>
      <c r="S467" s="69"/>
      <c r="T467" s="69"/>
      <c r="U467" s="69"/>
      <c r="V467" s="69"/>
      <c r="W467" s="81"/>
      <c r="X467" s="69"/>
      <c r="Y467" s="69"/>
      <c r="Z467" s="69"/>
      <c r="AA467" s="69"/>
      <c r="AB467" s="69"/>
    </row>
    <row r="468" spans="1:28">
      <c r="A468" s="67"/>
      <c r="B468" s="67"/>
      <c r="C468" s="68"/>
      <c r="F468" s="69"/>
      <c r="G468" s="69"/>
      <c r="H468" s="69"/>
      <c r="I468" s="69"/>
      <c r="J468" s="69"/>
      <c r="K468" s="69"/>
      <c r="L468" s="69"/>
      <c r="M468" s="69"/>
      <c r="N468" s="69"/>
      <c r="O468" s="69"/>
      <c r="P468" s="69"/>
      <c r="Q468" s="69"/>
      <c r="R468" s="69"/>
      <c r="S468" s="69"/>
      <c r="T468" s="69"/>
      <c r="U468" s="69"/>
      <c r="V468" s="69"/>
      <c r="W468" s="81"/>
      <c r="X468" s="69"/>
      <c r="Y468" s="69"/>
      <c r="Z468" s="69"/>
      <c r="AA468" s="69"/>
      <c r="AB468" s="69"/>
    </row>
    <row r="469" spans="1:28">
      <c r="A469" s="67"/>
      <c r="B469" s="67"/>
      <c r="C469" s="68"/>
      <c r="F469" s="69"/>
      <c r="G469" s="69"/>
      <c r="H469" s="69"/>
      <c r="I469" s="69"/>
      <c r="J469" s="69"/>
      <c r="K469" s="69"/>
      <c r="L469" s="69"/>
      <c r="M469" s="69"/>
      <c r="N469" s="69"/>
      <c r="O469" s="69"/>
      <c r="P469" s="69"/>
      <c r="Q469" s="69"/>
      <c r="R469" s="69"/>
      <c r="S469" s="69"/>
      <c r="T469" s="69"/>
      <c r="U469" s="69"/>
      <c r="V469" s="69"/>
      <c r="W469" s="81"/>
      <c r="X469" s="69"/>
      <c r="Y469" s="69"/>
      <c r="Z469" s="69"/>
      <c r="AA469" s="69"/>
      <c r="AB469" s="69"/>
    </row>
    <row r="470" spans="1:28">
      <c r="A470" s="67"/>
      <c r="B470" s="67"/>
      <c r="C470" s="68"/>
      <c r="F470" s="69"/>
      <c r="G470" s="69"/>
      <c r="H470" s="69"/>
      <c r="I470" s="69"/>
      <c r="J470" s="69"/>
      <c r="K470" s="69"/>
      <c r="L470" s="69"/>
      <c r="M470" s="69"/>
      <c r="N470" s="69"/>
      <c r="O470" s="69"/>
      <c r="P470" s="69"/>
      <c r="Q470" s="69"/>
      <c r="R470" s="69"/>
      <c r="S470" s="69"/>
      <c r="T470" s="69"/>
      <c r="U470" s="69"/>
      <c r="V470" s="69"/>
      <c r="W470" s="81"/>
      <c r="X470" s="69"/>
      <c r="Y470" s="69"/>
      <c r="Z470" s="69"/>
      <c r="AA470" s="69"/>
      <c r="AB470" s="69"/>
    </row>
    <row r="471" spans="1:28">
      <c r="A471" s="67"/>
      <c r="B471" s="67"/>
      <c r="C471" s="68"/>
      <c r="F471" s="69"/>
      <c r="G471" s="69"/>
      <c r="H471" s="69"/>
      <c r="I471" s="69"/>
      <c r="J471" s="69"/>
      <c r="K471" s="69"/>
      <c r="L471" s="69"/>
      <c r="M471" s="69"/>
      <c r="N471" s="69"/>
      <c r="O471" s="69"/>
      <c r="P471" s="69"/>
      <c r="Q471" s="69"/>
      <c r="R471" s="69"/>
      <c r="S471" s="69"/>
      <c r="T471" s="69"/>
      <c r="U471" s="69"/>
      <c r="V471" s="69"/>
      <c r="W471" s="81"/>
      <c r="X471" s="69"/>
      <c r="Y471" s="69"/>
      <c r="Z471" s="69"/>
      <c r="AA471" s="69"/>
      <c r="AB471" s="69"/>
    </row>
    <row r="472" spans="1:28">
      <c r="A472" s="67"/>
      <c r="B472" s="67"/>
      <c r="C472" s="68"/>
      <c r="F472" s="69"/>
      <c r="G472" s="69"/>
      <c r="H472" s="69"/>
      <c r="I472" s="69"/>
      <c r="J472" s="69"/>
      <c r="K472" s="69"/>
      <c r="L472" s="69"/>
      <c r="M472" s="69"/>
      <c r="N472" s="69"/>
      <c r="O472" s="69"/>
      <c r="P472" s="69"/>
      <c r="Q472" s="69"/>
      <c r="R472" s="69"/>
      <c r="S472" s="69"/>
      <c r="T472" s="69"/>
      <c r="U472" s="69"/>
      <c r="V472" s="69"/>
      <c r="W472" s="81"/>
      <c r="X472" s="69"/>
      <c r="Y472" s="69"/>
      <c r="Z472" s="69"/>
      <c r="AA472" s="69"/>
      <c r="AB472" s="69"/>
    </row>
    <row r="473" spans="1:28">
      <c r="A473" s="67"/>
      <c r="B473" s="67"/>
      <c r="C473" s="68"/>
      <c r="F473" s="69"/>
      <c r="G473" s="69"/>
      <c r="H473" s="69"/>
      <c r="I473" s="69"/>
      <c r="J473" s="69"/>
      <c r="K473" s="69"/>
      <c r="L473" s="69"/>
      <c r="M473" s="69"/>
      <c r="N473" s="69"/>
      <c r="O473" s="69"/>
      <c r="P473" s="69"/>
      <c r="Q473" s="69"/>
      <c r="R473" s="69"/>
      <c r="S473" s="69"/>
      <c r="T473" s="69"/>
      <c r="U473" s="69"/>
      <c r="V473" s="69"/>
      <c r="W473" s="81"/>
      <c r="X473" s="69"/>
      <c r="Y473" s="69"/>
      <c r="Z473" s="69"/>
      <c r="AA473" s="69"/>
      <c r="AB473" s="69"/>
    </row>
    <row r="474" spans="1:28">
      <c r="A474" s="67"/>
      <c r="B474" s="67"/>
      <c r="C474" s="68"/>
      <c r="F474" s="69"/>
      <c r="G474" s="69"/>
      <c r="H474" s="69"/>
      <c r="I474" s="69"/>
      <c r="J474" s="69"/>
      <c r="K474" s="69"/>
      <c r="L474" s="69"/>
      <c r="M474" s="69"/>
      <c r="N474" s="69"/>
      <c r="O474" s="69"/>
      <c r="P474" s="69"/>
      <c r="Q474" s="69"/>
      <c r="R474" s="69"/>
      <c r="S474" s="69"/>
      <c r="T474" s="69"/>
      <c r="U474" s="69"/>
      <c r="V474" s="69"/>
      <c r="W474" s="81"/>
      <c r="X474" s="69"/>
      <c r="Y474" s="69"/>
      <c r="Z474" s="69"/>
      <c r="AA474" s="69"/>
      <c r="AB474" s="69"/>
    </row>
    <row r="475" spans="1:28">
      <c r="A475" s="67"/>
      <c r="B475" s="67"/>
      <c r="C475" s="68"/>
      <c r="F475" s="69"/>
      <c r="G475" s="69"/>
      <c r="H475" s="69"/>
      <c r="I475" s="69"/>
      <c r="J475" s="69"/>
      <c r="K475" s="69"/>
      <c r="L475" s="69"/>
      <c r="M475" s="69"/>
      <c r="N475" s="69"/>
      <c r="O475" s="69"/>
      <c r="P475" s="69"/>
      <c r="Q475" s="69"/>
      <c r="R475" s="69"/>
      <c r="S475" s="69"/>
      <c r="T475" s="69"/>
      <c r="U475" s="69"/>
      <c r="V475" s="69"/>
      <c r="W475" s="81"/>
      <c r="X475" s="69"/>
      <c r="Y475" s="69"/>
      <c r="Z475" s="69"/>
      <c r="AA475" s="69"/>
      <c r="AB475" s="69"/>
    </row>
    <row r="476" spans="1:28">
      <c r="A476" s="67"/>
      <c r="B476" s="67"/>
      <c r="C476" s="68"/>
      <c r="F476" s="69"/>
      <c r="G476" s="69"/>
      <c r="H476" s="69"/>
      <c r="I476" s="69"/>
      <c r="J476" s="69"/>
      <c r="K476" s="69"/>
      <c r="L476" s="69"/>
      <c r="M476" s="69"/>
      <c r="N476" s="69"/>
      <c r="O476" s="69"/>
      <c r="P476" s="69"/>
      <c r="Q476" s="69"/>
      <c r="R476" s="69"/>
      <c r="S476" s="69"/>
      <c r="T476" s="69"/>
      <c r="U476" s="69"/>
      <c r="V476" s="69"/>
      <c r="W476" s="81"/>
      <c r="X476" s="69"/>
      <c r="Y476" s="69"/>
      <c r="Z476" s="69"/>
      <c r="AA476" s="69"/>
      <c r="AB476" s="69"/>
    </row>
    <row r="477" spans="1:28">
      <c r="A477" s="67"/>
      <c r="B477" s="67"/>
      <c r="C477" s="68"/>
      <c r="F477" s="69"/>
      <c r="G477" s="69"/>
      <c r="H477" s="69"/>
      <c r="I477" s="69"/>
      <c r="J477" s="69"/>
      <c r="K477" s="69"/>
      <c r="L477" s="69"/>
      <c r="M477" s="69"/>
      <c r="N477" s="69"/>
      <c r="O477" s="69"/>
      <c r="P477" s="69"/>
      <c r="Q477" s="69"/>
      <c r="R477" s="69"/>
      <c r="S477" s="69"/>
      <c r="T477" s="69"/>
      <c r="U477" s="69"/>
      <c r="V477" s="69"/>
      <c r="W477" s="81"/>
      <c r="X477" s="69"/>
      <c r="Y477" s="69"/>
      <c r="Z477" s="69"/>
      <c r="AA477" s="69"/>
      <c r="AB477" s="69"/>
    </row>
    <row r="478" spans="1:28">
      <c r="A478" s="67"/>
      <c r="B478" s="67"/>
      <c r="C478" s="68"/>
      <c r="F478" s="69"/>
      <c r="G478" s="69"/>
      <c r="H478" s="69"/>
      <c r="I478" s="69"/>
      <c r="J478" s="69"/>
      <c r="K478" s="69"/>
      <c r="L478" s="69"/>
      <c r="M478" s="69"/>
      <c r="N478" s="69"/>
      <c r="O478" s="69"/>
      <c r="P478" s="69"/>
      <c r="Q478" s="69"/>
      <c r="R478" s="69"/>
      <c r="S478" s="69"/>
      <c r="T478" s="69"/>
      <c r="U478" s="69"/>
      <c r="V478" s="69"/>
      <c r="W478" s="81"/>
      <c r="X478" s="69"/>
      <c r="Y478" s="69"/>
      <c r="Z478" s="69"/>
      <c r="AA478" s="69"/>
      <c r="AB478" s="69"/>
    </row>
    <row r="479" spans="1:28">
      <c r="A479" s="67"/>
      <c r="B479" s="67"/>
      <c r="C479" s="68"/>
      <c r="F479" s="69"/>
      <c r="G479" s="69"/>
      <c r="H479" s="69"/>
      <c r="I479" s="69"/>
      <c r="J479" s="69"/>
      <c r="K479" s="69"/>
      <c r="L479" s="69"/>
      <c r="M479" s="69"/>
      <c r="N479" s="69"/>
      <c r="O479" s="69"/>
      <c r="P479" s="69"/>
      <c r="Q479" s="69"/>
      <c r="R479" s="69"/>
      <c r="S479" s="69"/>
      <c r="T479" s="69"/>
      <c r="U479" s="69"/>
      <c r="V479" s="69"/>
      <c r="W479" s="81"/>
      <c r="X479" s="69"/>
      <c r="Y479" s="69"/>
      <c r="Z479" s="69"/>
      <c r="AA479" s="69"/>
      <c r="AB479" s="69"/>
    </row>
    <row r="480" spans="1:28">
      <c r="A480" s="67"/>
      <c r="B480" s="67"/>
      <c r="C480" s="68"/>
      <c r="F480" s="69"/>
      <c r="G480" s="69"/>
      <c r="H480" s="69"/>
      <c r="I480" s="69"/>
      <c r="J480" s="69"/>
      <c r="K480" s="69"/>
      <c r="L480" s="69"/>
      <c r="M480" s="69"/>
      <c r="N480" s="69"/>
      <c r="O480" s="69"/>
      <c r="P480" s="69"/>
      <c r="Q480" s="69"/>
      <c r="R480" s="69"/>
      <c r="S480" s="69"/>
      <c r="T480" s="69"/>
      <c r="U480" s="69"/>
      <c r="V480" s="69"/>
      <c r="W480" s="81"/>
      <c r="X480" s="69"/>
      <c r="Y480" s="69"/>
      <c r="Z480" s="69"/>
      <c r="AA480" s="69"/>
      <c r="AB480" s="69"/>
    </row>
    <row r="481" spans="1:28">
      <c r="A481" s="67"/>
      <c r="B481" s="67"/>
      <c r="C481" s="68"/>
      <c r="F481" s="69"/>
      <c r="G481" s="69"/>
      <c r="H481" s="69"/>
      <c r="I481" s="69"/>
      <c r="J481" s="69"/>
      <c r="K481" s="69"/>
      <c r="L481" s="69"/>
      <c r="M481" s="69"/>
      <c r="N481" s="69"/>
      <c r="O481" s="69"/>
      <c r="P481" s="69"/>
      <c r="Q481" s="69"/>
      <c r="R481" s="69"/>
      <c r="S481" s="69"/>
      <c r="T481" s="69"/>
      <c r="U481" s="69"/>
      <c r="V481" s="69"/>
      <c r="W481" s="81"/>
      <c r="X481" s="69"/>
      <c r="Y481" s="69"/>
      <c r="Z481" s="69"/>
      <c r="AA481" s="69"/>
      <c r="AB481" s="69"/>
    </row>
    <row r="482" spans="1:28">
      <c r="A482" s="67"/>
      <c r="B482" s="67"/>
      <c r="C482" s="68"/>
      <c r="F482" s="69"/>
      <c r="G482" s="69"/>
      <c r="H482" s="69"/>
      <c r="I482" s="69"/>
      <c r="J482" s="69"/>
      <c r="K482" s="69"/>
      <c r="L482" s="69"/>
      <c r="M482" s="69"/>
      <c r="N482" s="69"/>
      <c r="O482" s="69"/>
      <c r="P482" s="69"/>
      <c r="Q482" s="69"/>
      <c r="R482" s="69"/>
      <c r="S482" s="69"/>
      <c r="T482" s="69"/>
      <c r="U482" s="69"/>
      <c r="V482" s="69"/>
      <c r="W482" s="81"/>
      <c r="X482" s="69"/>
      <c r="Y482" s="69"/>
      <c r="Z482" s="69"/>
      <c r="AA482" s="69"/>
      <c r="AB482" s="69"/>
    </row>
    <row r="483" spans="1:28">
      <c r="A483" s="67"/>
      <c r="B483" s="67"/>
      <c r="C483" s="68"/>
      <c r="F483" s="69"/>
      <c r="G483" s="69"/>
      <c r="H483" s="69"/>
      <c r="I483" s="69"/>
      <c r="J483" s="69"/>
      <c r="K483" s="69"/>
      <c r="L483" s="69"/>
      <c r="M483" s="69"/>
      <c r="N483" s="69"/>
      <c r="O483" s="69"/>
      <c r="P483" s="69"/>
      <c r="Q483" s="69"/>
      <c r="R483" s="69"/>
      <c r="S483" s="69"/>
      <c r="T483" s="69"/>
      <c r="U483" s="69"/>
      <c r="V483" s="69"/>
      <c r="W483" s="81"/>
      <c r="X483" s="69"/>
      <c r="Y483" s="69"/>
      <c r="Z483" s="69"/>
      <c r="AA483" s="69"/>
      <c r="AB483" s="69"/>
    </row>
    <row r="484" spans="1:28">
      <c r="A484" s="67"/>
      <c r="B484" s="67"/>
      <c r="C484" s="68"/>
      <c r="F484" s="69"/>
      <c r="G484" s="69"/>
      <c r="H484" s="69"/>
      <c r="I484" s="69"/>
      <c r="J484" s="69"/>
      <c r="K484" s="69"/>
      <c r="L484" s="69"/>
      <c r="M484" s="69"/>
      <c r="N484" s="69"/>
      <c r="O484" s="69"/>
      <c r="P484" s="69"/>
      <c r="Q484" s="69"/>
      <c r="R484" s="69"/>
      <c r="S484" s="69"/>
      <c r="T484" s="69"/>
      <c r="U484" s="69"/>
      <c r="V484" s="69"/>
      <c r="W484" s="81"/>
      <c r="X484" s="69"/>
      <c r="Y484" s="69"/>
      <c r="Z484" s="69"/>
      <c r="AA484" s="69"/>
      <c r="AB484" s="69"/>
    </row>
    <row r="485" spans="1:28">
      <c r="A485" s="67"/>
      <c r="B485" s="67"/>
      <c r="C485" s="68"/>
      <c r="F485" s="69"/>
      <c r="G485" s="69"/>
      <c r="H485" s="69"/>
      <c r="I485" s="69"/>
      <c r="J485" s="69"/>
      <c r="K485" s="69"/>
      <c r="L485" s="69"/>
      <c r="M485" s="69"/>
      <c r="N485" s="69"/>
      <c r="O485" s="69"/>
      <c r="P485" s="69"/>
      <c r="Q485" s="69"/>
      <c r="R485" s="69"/>
      <c r="S485" s="69"/>
      <c r="T485" s="69"/>
      <c r="U485" s="69"/>
      <c r="V485" s="69"/>
      <c r="W485" s="81"/>
      <c r="X485" s="69"/>
      <c r="Y485" s="69"/>
      <c r="Z485" s="69"/>
      <c r="AA485" s="69"/>
      <c r="AB485" s="69"/>
    </row>
    <row r="486" spans="1:28">
      <c r="A486" s="67"/>
      <c r="B486" s="67"/>
      <c r="C486" s="68"/>
      <c r="F486" s="69"/>
      <c r="G486" s="69"/>
      <c r="H486" s="69"/>
      <c r="I486" s="69"/>
      <c r="J486" s="69"/>
      <c r="K486" s="69"/>
      <c r="L486" s="69"/>
      <c r="M486" s="69"/>
      <c r="N486" s="69"/>
      <c r="O486" s="69"/>
      <c r="P486" s="69"/>
      <c r="Q486" s="69"/>
      <c r="R486" s="69"/>
      <c r="S486" s="69"/>
      <c r="T486" s="69"/>
      <c r="U486" s="69"/>
      <c r="V486" s="69"/>
      <c r="W486" s="81"/>
      <c r="X486" s="69"/>
      <c r="Y486" s="69"/>
      <c r="Z486" s="69"/>
      <c r="AA486" s="69"/>
      <c r="AB486" s="69"/>
    </row>
    <row r="487" spans="1:28">
      <c r="A487" s="67"/>
      <c r="B487" s="67"/>
      <c r="C487" s="68"/>
      <c r="F487" s="69"/>
      <c r="G487" s="69"/>
      <c r="H487" s="69"/>
      <c r="I487" s="69"/>
      <c r="J487" s="69"/>
      <c r="K487" s="69"/>
      <c r="L487" s="69"/>
      <c r="M487" s="69"/>
      <c r="N487" s="69"/>
      <c r="O487" s="69"/>
      <c r="P487" s="69"/>
      <c r="Q487" s="69"/>
      <c r="R487" s="69"/>
      <c r="S487" s="69"/>
      <c r="T487" s="69"/>
      <c r="U487" s="69"/>
      <c r="V487" s="69"/>
      <c r="W487" s="81"/>
      <c r="X487" s="69"/>
      <c r="Y487" s="69"/>
      <c r="Z487" s="69"/>
      <c r="AA487" s="69"/>
      <c r="AB487" s="69"/>
    </row>
    <row r="488" spans="1:28">
      <c r="A488" s="67"/>
      <c r="B488" s="67"/>
      <c r="C488" s="68"/>
      <c r="F488" s="69"/>
      <c r="G488" s="69"/>
      <c r="H488" s="69"/>
      <c r="I488" s="69"/>
      <c r="J488" s="69"/>
      <c r="K488" s="69"/>
      <c r="L488" s="69"/>
      <c r="M488" s="69"/>
      <c r="N488" s="69"/>
      <c r="O488" s="69"/>
      <c r="P488" s="69"/>
      <c r="Q488" s="69"/>
      <c r="R488" s="69"/>
      <c r="S488" s="69"/>
      <c r="T488" s="69"/>
      <c r="U488" s="69"/>
      <c r="V488" s="69"/>
      <c r="W488" s="81"/>
      <c r="X488" s="69"/>
      <c r="Y488" s="69"/>
      <c r="Z488" s="69"/>
      <c r="AA488" s="69"/>
      <c r="AB488" s="69"/>
    </row>
    <row r="489" spans="1:28">
      <c r="A489" s="67"/>
      <c r="B489" s="67"/>
      <c r="C489" s="68"/>
      <c r="F489" s="69"/>
      <c r="G489" s="69"/>
      <c r="H489" s="69"/>
      <c r="I489" s="69"/>
      <c r="J489" s="69"/>
      <c r="K489" s="69"/>
      <c r="L489" s="69"/>
      <c r="M489" s="69"/>
      <c r="N489" s="69"/>
      <c r="O489" s="69"/>
      <c r="P489" s="69"/>
      <c r="Q489" s="69"/>
      <c r="R489" s="69"/>
      <c r="S489" s="69"/>
      <c r="T489" s="69"/>
      <c r="U489" s="69"/>
      <c r="V489" s="69"/>
      <c r="W489" s="81"/>
      <c r="X489" s="69"/>
      <c r="Y489" s="69"/>
      <c r="Z489" s="69"/>
      <c r="AA489" s="69"/>
      <c r="AB489" s="69"/>
    </row>
    <row r="490" spans="1:28">
      <c r="A490" s="67"/>
      <c r="B490" s="67"/>
      <c r="C490" s="68"/>
      <c r="F490" s="69"/>
      <c r="G490" s="69"/>
      <c r="H490" s="69"/>
      <c r="I490" s="69"/>
      <c r="J490" s="69"/>
      <c r="K490" s="69"/>
      <c r="L490" s="69"/>
      <c r="M490" s="69"/>
      <c r="N490" s="69"/>
      <c r="O490" s="69"/>
      <c r="P490" s="69"/>
      <c r="Q490" s="69"/>
      <c r="R490" s="69"/>
      <c r="S490" s="69"/>
      <c r="T490" s="69"/>
      <c r="U490" s="69"/>
      <c r="V490" s="69"/>
      <c r="W490" s="81"/>
      <c r="X490" s="69"/>
      <c r="Y490" s="69"/>
      <c r="Z490" s="69"/>
      <c r="AA490" s="69"/>
      <c r="AB490" s="69"/>
    </row>
    <row r="491" spans="1:28">
      <c r="A491" s="67"/>
      <c r="B491" s="67"/>
      <c r="C491" s="68"/>
      <c r="F491" s="69"/>
      <c r="G491" s="69"/>
      <c r="H491" s="69"/>
      <c r="I491" s="69"/>
      <c r="J491" s="69"/>
      <c r="K491" s="69"/>
      <c r="L491" s="69"/>
      <c r="M491" s="69"/>
      <c r="N491" s="69"/>
      <c r="O491" s="69"/>
      <c r="P491" s="69"/>
      <c r="Q491" s="69"/>
      <c r="R491" s="69"/>
      <c r="S491" s="69"/>
      <c r="T491" s="69"/>
      <c r="U491" s="69"/>
      <c r="V491" s="69"/>
      <c r="W491" s="81"/>
      <c r="X491" s="69"/>
      <c r="Y491" s="69"/>
      <c r="Z491" s="69"/>
      <c r="AA491" s="69"/>
      <c r="AB491" s="69"/>
    </row>
    <row r="492" spans="1:28">
      <c r="A492" s="67"/>
      <c r="B492" s="67"/>
      <c r="C492" s="68"/>
      <c r="F492" s="69"/>
      <c r="G492" s="69"/>
      <c r="H492" s="69"/>
      <c r="I492" s="69"/>
      <c r="J492" s="69"/>
      <c r="K492" s="69"/>
      <c r="L492" s="69"/>
      <c r="M492" s="69"/>
      <c r="N492" s="69"/>
      <c r="O492" s="69"/>
      <c r="P492" s="69"/>
      <c r="Q492" s="69"/>
      <c r="R492" s="69"/>
      <c r="S492" s="69"/>
      <c r="T492" s="69"/>
      <c r="U492" s="69"/>
      <c r="V492" s="69"/>
      <c r="W492" s="81"/>
      <c r="X492" s="69"/>
      <c r="Y492" s="69"/>
      <c r="Z492" s="69"/>
      <c r="AA492" s="69"/>
      <c r="AB492" s="69"/>
    </row>
    <row r="493" spans="1:28">
      <c r="A493" s="67"/>
      <c r="B493" s="67"/>
      <c r="C493" s="68"/>
      <c r="F493" s="69"/>
      <c r="G493" s="69"/>
      <c r="H493" s="69"/>
      <c r="I493" s="69"/>
      <c r="J493" s="69"/>
      <c r="K493" s="69"/>
      <c r="L493" s="69"/>
      <c r="M493" s="69"/>
      <c r="N493" s="69"/>
      <c r="O493" s="69"/>
      <c r="P493" s="69"/>
      <c r="Q493" s="69"/>
      <c r="R493" s="69"/>
      <c r="S493" s="69"/>
      <c r="T493" s="69"/>
      <c r="U493" s="69"/>
      <c r="V493" s="69"/>
      <c r="W493" s="81"/>
      <c r="X493" s="69"/>
      <c r="Y493" s="69"/>
      <c r="Z493" s="69"/>
      <c r="AA493" s="69"/>
      <c r="AB493" s="69"/>
    </row>
    <row r="494" spans="1:28">
      <c r="A494" s="67"/>
      <c r="B494" s="67"/>
      <c r="C494" s="68"/>
      <c r="F494" s="69"/>
      <c r="G494" s="69"/>
      <c r="H494" s="69"/>
      <c r="I494" s="69"/>
      <c r="J494" s="69"/>
      <c r="K494" s="69"/>
      <c r="L494" s="69"/>
      <c r="M494" s="69"/>
      <c r="N494" s="69"/>
      <c r="O494" s="69"/>
      <c r="P494" s="69"/>
      <c r="Q494" s="69"/>
      <c r="R494" s="69"/>
      <c r="S494" s="69"/>
      <c r="T494" s="69"/>
      <c r="U494" s="69"/>
      <c r="V494" s="69"/>
      <c r="W494" s="81"/>
      <c r="X494" s="69"/>
      <c r="Y494" s="69"/>
      <c r="Z494" s="69"/>
      <c r="AA494" s="69"/>
      <c r="AB494" s="69"/>
    </row>
    <row r="495" spans="1:28">
      <c r="A495" s="67"/>
      <c r="B495" s="67"/>
      <c r="C495" s="68"/>
      <c r="F495" s="69"/>
      <c r="G495" s="69"/>
      <c r="H495" s="69"/>
      <c r="I495" s="69"/>
      <c r="J495" s="69"/>
      <c r="K495" s="69"/>
      <c r="L495" s="69"/>
      <c r="M495" s="69"/>
      <c r="N495" s="69"/>
      <c r="O495" s="69"/>
      <c r="P495" s="69"/>
      <c r="Q495" s="69"/>
      <c r="R495" s="69"/>
      <c r="S495" s="69"/>
      <c r="T495" s="69"/>
      <c r="U495" s="69"/>
      <c r="V495" s="69"/>
      <c r="W495" s="81"/>
      <c r="X495" s="69"/>
      <c r="Y495" s="69"/>
      <c r="Z495" s="69"/>
      <c r="AA495" s="69"/>
      <c r="AB495" s="69"/>
    </row>
    <row r="496" spans="1:28">
      <c r="A496" s="67"/>
      <c r="B496" s="67"/>
      <c r="C496" s="68"/>
      <c r="F496" s="69"/>
      <c r="G496" s="69"/>
      <c r="H496" s="69"/>
      <c r="I496" s="69"/>
      <c r="J496" s="69"/>
      <c r="K496" s="69"/>
      <c r="L496" s="69"/>
      <c r="M496" s="69"/>
      <c r="N496" s="69"/>
      <c r="O496" s="69"/>
      <c r="P496" s="69"/>
      <c r="Q496" s="69"/>
      <c r="R496" s="69"/>
      <c r="S496" s="69"/>
      <c r="T496" s="69"/>
      <c r="U496" s="69"/>
      <c r="V496" s="69"/>
      <c r="W496" s="81"/>
      <c r="X496" s="69"/>
      <c r="Y496" s="69"/>
      <c r="Z496" s="69"/>
      <c r="AA496" s="69"/>
      <c r="AB496" s="69"/>
    </row>
    <row r="497" spans="1:28">
      <c r="A497" s="67"/>
      <c r="B497" s="67"/>
      <c r="C497" s="68"/>
      <c r="F497" s="69"/>
      <c r="G497" s="69"/>
      <c r="H497" s="69"/>
      <c r="I497" s="69"/>
      <c r="J497" s="69"/>
      <c r="K497" s="69"/>
      <c r="L497" s="69"/>
      <c r="M497" s="69"/>
      <c r="N497" s="69"/>
      <c r="O497" s="69"/>
      <c r="P497" s="69"/>
      <c r="Q497" s="69"/>
      <c r="R497" s="69"/>
      <c r="S497" s="69"/>
      <c r="T497" s="69"/>
      <c r="U497" s="69"/>
      <c r="V497" s="69"/>
      <c r="W497" s="81"/>
      <c r="X497" s="69"/>
      <c r="Y497" s="69"/>
      <c r="Z497" s="69"/>
      <c r="AA497" s="69"/>
      <c r="AB497" s="69"/>
    </row>
    <row r="498" spans="1:28">
      <c r="A498" s="67"/>
      <c r="B498" s="67"/>
      <c r="C498" s="68"/>
      <c r="F498" s="69"/>
      <c r="G498" s="69"/>
      <c r="H498" s="69"/>
      <c r="I498" s="69"/>
      <c r="J498" s="69"/>
      <c r="K498" s="69"/>
      <c r="L498" s="69"/>
      <c r="M498" s="69"/>
      <c r="N498" s="69"/>
      <c r="O498" s="69"/>
      <c r="P498" s="69"/>
      <c r="Q498" s="69"/>
      <c r="R498" s="69"/>
      <c r="S498" s="69"/>
      <c r="T498" s="69"/>
      <c r="U498" s="69"/>
      <c r="V498" s="69"/>
      <c r="W498" s="81"/>
      <c r="X498" s="69"/>
      <c r="Y498" s="69"/>
      <c r="Z498" s="69"/>
      <c r="AA498" s="69"/>
      <c r="AB498" s="69"/>
    </row>
    <row r="499" spans="1:28">
      <c r="A499" s="67"/>
      <c r="B499" s="67"/>
      <c r="C499" s="68"/>
      <c r="F499" s="69"/>
      <c r="G499" s="69"/>
      <c r="H499" s="69"/>
      <c r="I499" s="69"/>
      <c r="J499" s="69"/>
      <c r="K499" s="69"/>
      <c r="L499" s="69"/>
      <c r="M499" s="69"/>
      <c r="N499" s="69"/>
      <c r="O499" s="69"/>
      <c r="P499" s="69"/>
      <c r="Q499" s="69"/>
      <c r="R499" s="69"/>
      <c r="S499" s="69"/>
      <c r="T499" s="69"/>
      <c r="U499" s="69"/>
      <c r="V499" s="69"/>
      <c r="W499" s="81"/>
      <c r="X499" s="69"/>
      <c r="Y499" s="69"/>
      <c r="Z499" s="69"/>
      <c r="AA499" s="69"/>
      <c r="AB499" s="69"/>
    </row>
    <row r="500" spans="1:28">
      <c r="A500" s="67"/>
      <c r="B500" s="67"/>
      <c r="C500" s="68"/>
      <c r="F500" s="69"/>
      <c r="G500" s="69"/>
      <c r="H500" s="69"/>
      <c r="I500" s="69"/>
      <c r="J500" s="69"/>
      <c r="K500" s="69"/>
      <c r="L500" s="69"/>
      <c r="M500" s="69"/>
      <c r="N500" s="69"/>
      <c r="O500" s="69"/>
      <c r="P500" s="69"/>
      <c r="Q500" s="69"/>
      <c r="R500" s="69"/>
      <c r="S500" s="69"/>
      <c r="T500" s="69"/>
      <c r="U500" s="69"/>
      <c r="V500" s="69"/>
      <c r="W500" s="81"/>
      <c r="X500" s="69"/>
      <c r="Y500" s="69"/>
      <c r="Z500" s="69"/>
      <c r="AA500" s="69"/>
      <c r="AB500" s="69"/>
    </row>
    <row r="501" spans="1:28">
      <c r="A501" s="67"/>
      <c r="B501" s="67"/>
      <c r="C501" s="68"/>
      <c r="F501" s="69"/>
      <c r="G501" s="69"/>
      <c r="H501" s="69"/>
      <c r="I501" s="69"/>
      <c r="J501" s="69"/>
      <c r="K501" s="69"/>
      <c r="L501" s="69"/>
      <c r="M501" s="69"/>
      <c r="N501" s="69"/>
      <c r="O501" s="69"/>
      <c r="P501" s="69"/>
      <c r="Q501" s="69"/>
      <c r="R501" s="69"/>
      <c r="S501" s="69"/>
      <c r="T501" s="69"/>
      <c r="U501" s="69"/>
      <c r="V501" s="69"/>
      <c r="W501" s="81"/>
      <c r="X501" s="69"/>
      <c r="Y501" s="69"/>
      <c r="Z501" s="69"/>
      <c r="AA501" s="69"/>
      <c r="AB501" s="69"/>
    </row>
    <row r="502" spans="1:28">
      <c r="A502" s="67"/>
      <c r="B502" s="67"/>
      <c r="C502" s="68"/>
      <c r="F502" s="69"/>
      <c r="G502" s="69"/>
      <c r="H502" s="69"/>
      <c r="I502" s="69"/>
      <c r="J502" s="69"/>
      <c r="K502" s="69"/>
      <c r="L502" s="69"/>
      <c r="M502" s="69"/>
      <c r="N502" s="69"/>
      <c r="O502" s="69"/>
      <c r="P502" s="69"/>
      <c r="Q502" s="69"/>
      <c r="R502" s="69"/>
      <c r="S502" s="69"/>
      <c r="T502" s="69"/>
      <c r="U502" s="69"/>
      <c r="V502" s="69"/>
      <c r="W502" s="81"/>
      <c r="X502" s="69"/>
      <c r="Y502" s="69"/>
      <c r="Z502" s="69"/>
      <c r="AA502" s="69"/>
      <c r="AB502" s="69"/>
    </row>
    <row r="503" spans="1:28">
      <c r="A503" s="67"/>
      <c r="B503" s="67"/>
      <c r="C503" s="68"/>
      <c r="F503" s="69"/>
      <c r="G503" s="69"/>
      <c r="H503" s="69"/>
      <c r="I503" s="69"/>
      <c r="J503" s="69"/>
      <c r="K503" s="69"/>
      <c r="L503" s="69"/>
      <c r="M503" s="69"/>
      <c r="N503" s="69"/>
      <c r="O503" s="69"/>
      <c r="P503" s="69"/>
      <c r="Q503" s="69"/>
      <c r="R503" s="69"/>
      <c r="S503" s="69"/>
      <c r="T503" s="69"/>
      <c r="U503" s="69"/>
      <c r="V503" s="69"/>
      <c r="W503" s="81"/>
      <c r="X503" s="69"/>
      <c r="Y503" s="69"/>
      <c r="Z503" s="69"/>
      <c r="AA503" s="69"/>
      <c r="AB503" s="69"/>
    </row>
    <row r="504" spans="1:28">
      <c r="A504" s="67"/>
      <c r="B504" s="67"/>
      <c r="C504" s="68"/>
      <c r="F504" s="69"/>
      <c r="G504" s="69"/>
      <c r="H504" s="69"/>
      <c r="I504" s="69"/>
      <c r="J504" s="69"/>
      <c r="K504" s="69"/>
      <c r="L504" s="69"/>
      <c r="M504" s="69"/>
      <c r="N504" s="69"/>
      <c r="O504" s="69"/>
      <c r="P504" s="69"/>
      <c r="Q504" s="69"/>
      <c r="R504" s="69"/>
      <c r="S504" s="69"/>
      <c r="T504" s="69"/>
      <c r="U504" s="69"/>
      <c r="V504" s="69"/>
      <c r="W504" s="81"/>
      <c r="X504" s="69"/>
      <c r="Y504" s="69"/>
      <c r="Z504" s="69"/>
      <c r="AA504" s="69"/>
      <c r="AB504" s="69"/>
    </row>
    <row r="505" spans="1:28">
      <c r="A505" s="67"/>
      <c r="B505" s="67"/>
      <c r="C505" s="68"/>
      <c r="F505" s="69"/>
      <c r="G505" s="69"/>
      <c r="H505" s="69"/>
      <c r="I505" s="69"/>
      <c r="J505" s="69"/>
      <c r="K505" s="69"/>
      <c r="L505" s="69"/>
      <c r="M505" s="69"/>
      <c r="N505" s="69"/>
      <c r="O505" s="69"/>
      <c r="P505" s="69"/>
      <c r="Q505" s="69"/>
      <c r="R505" s="69"/>
      <c r="S505" s="69"/>
      <c r="T505" s="69"/>
      <c r="U505" s="69"/>
      <c r="V505" s="69"/>
      <c r="W505" s="81"/>
      <c r="X505" s="69"/>
      <c r="Y505" s="69"/>
      <c r="Z505" s="69"/>
      <c r="AA505" s="69"/>
      <c r="AB505" s="69"/>
    </row>
    <row r="506" spans="1:28">
      <c r="A506" s="67"/>
      <c r="B506" s="67"/>
      <c r="C506" s="68"/>
      <c r="F506" s="69"/>
      <c r="G506" s="69"/>
      <c r="H506" s="69"/>
      <c r="I506" s="69"/>
      <c r="J506" s="69"/>
      <c r="K506" s="69"/>
      <c r="L506" s="69"/>
      <c r="M506" s="69"/>
      <c r="N506" s="69"/>
      <c r="O506" s="69"/>
      <c r="P506" s="69"/>
      <c r="Q506" s="69"/>
      <c r="R506" s="69"/>
      <c r="S506" s="69"/>
      <c r="T506" s="69"/>
      <c r="U506" s="69"/>
      <c r="V506" s="69"/>
      <c r="W506" s="81"/>
      <c r="X506" s="69"/>
      <c r="Y506" s="69"/>
      <c r="Z506" s="69"/>
      <c r="AA506" s="69"/>
      <c r="AB506" s="69"/>
    </row>
    <row r="507" spans="1:28">
      <c r="A507" s="67"/>
      <c r="B507" s="67"/>
      <c r="C507" s="68"/>
      <c r="F507" s="69"/>
      <c r="G507" s="69"/>
      <c r="H507" s="69"/>
      <c r="I507" s="69"/>
      <c r="J507" s="69"/>
      <c r="K507" s="69"/>
      <c r="L507" s="69"/>
      <c r="M507" s="69"/>
      <c r="N507" s="69"/>
      <c r="O507" s="69"/>
      <c r="P507" s="69"/>
      <c r="Q507" s="69"/>
      <c r="R507" s="69"/>
      <c r="S507" s="69"/>
      <c r="T507" s="69"/>
      <c r="U507" s="69"/>
      <c r="V507" s="69"/>
      <c r="W507" s="81"/>
      <c r="X507" s="69"/>
      <c r="Y507" s="69"/>
      <c r="Z507" s="69"/>
      <c r="AA507" s="69"/>
      <c r="AB507" s="69"/>
    </row>
    <row r="508" spans="1:28">
      <c r="A508" s="67"/>
      <c r="B508" s="67"/>
      <c r="C508" s="68"/>
      <c r="F508" s="69"/>
      <c r="G508" s="69"/>
      <c r="H508" s="69"/>
      <c r="I508" s="69"/>
      <c r="J508" s="69"/>
      <c r="K508" s="69"/>
      <c r="L508" s="69"/>
      <c r="M508" s="69"/>
      <c r="N508" s="69"/>
      <c r="O508" s="69"/>
      <c r="P508" s="69"/>
      <c r="Q508" s="69"/>
      <c r="R508" s="69"/>
      <c r="S508" s="69"/>
      <c r="T508" s="69"/>
      <c r="U508" s="69"/>
      <c r="V508" s="69"/>
      <c r="W508" s="81"/>
      <c r="X508" s="69"/>
      <c r="Y508" s="69"/>
      <c r="Z508" s="69"/>
      <c r="AA508" s="69"/>
      <c r="AB508" s="69"/>
    </row>
    <row r="509" spans="1:28">
      <c r="A509" s="67"/>
      <c r="B509" s="67"/>
      <c r="C509" s="68"/>
      <c r="F509" s="69"/>
      <c r="G509" s="69"/>
      <c r="H509" s="69"/>
      <c r="I509" s="69"/>
      <c r="J509" s="69"/>
      <c r="K509" s="69"/>
      <c r="L509" s="69"/>
      <c r="M509" s="69"/>
      <c r="N509" s="69"/>
      <c r="O509" s="69"/>
      <c r="P509" s="69"/>
      <c r="Q509" s="69"/>
      <c r="R509" s="69"/>
      <c r="S509" s="69"/>
      <c r="T509" s="69"/>
      <c r="U509" s="69"/>
      <c r="V509" s="69"/>
      <c r="W509" s="81"/>
      <c r="X509" s="69"/>
      <c r="Y509" s="69"/>
      <c r="Z509" s="69"/>
      <c r="AA509" s="69"/>
      <c r="AB509" s="69"/>
    </row>
    <row r="510" spans="1:28">
      <c r="A510" s="67"/>
      <c r="B510" s="67"/>
      <c r="C510" s="68"/>
      <c r="F510" s="69"/>
      <c r="G510" s="69"/>
      <c r="H510" s="69"/>
      <c r="I510" s="69"/>
      <c r="J510" s="69"/>
      <c r="K510" s="69"/>
      <c r="L510" s="69"/>
      <c r="M510" s="69"/>
      <c r="N510" s="69"/>
      <c r="O510" s="69"/>
      <c r="P510" s="69"/>
      <c r="Q510" s="69"/>
      <c r="R510" s="69"/>
      <c r="S510" s="69"/>
      <c r="T510" s="69"/>
      <c r="U510" s="69"/>
      <c r="V510" s="69"/>
      <c r="W510" s="81"/>
      <c r="X510" s="69"/>
      <c r="Y510" s="69"/>
      <c r="Z510" s="69"/>
      <c r="AA510" s="69"/>
      <c r="AB510" s="69"/>
    </row>
    <row r="511" spans="1:28">
      <c r="A511" s="67"/>
      <c r="B511" s="67"/>
      <c r="C511" s="68"/>
      <c r="F511" s="69"/>
      <c r="G511" s="69"/>
      <c r="H511" s="69"/>
      <c r="I511" s="69"/>
      <c r="J511" s="69"/>
      <c r="K511" s="69"/>
      <c r="L511" s="69"/>
      <c r="M511" s="69"/>
      <c r="N511" s="69"/>
      <c r="O511" s="69"/>
      <c r="P511" s="69"/>
      <c r="Q511" s="69"/>
      <c r="R511" s="69"/>
      <c r="S511" s="69"/>
      <c r="T511" s="69"/>
      <c r="U511" s="69"/>
      <c r="V511" s="69"/>
      <c r="W511" s="81"/>
      <c r="X511" s="69"/>
      <c r="Y511" s="69"/>
      <c r="Z511" s="69"/>
      <c r="AA511" s="69"/>
      <c r="AB511" s="69"/>
    </row>
    <row r="512" spans="1:28">
      <c r="A512" s="67"/>
      <c r="B512" s="67"/>
      <c r="C512" s="68"/>
      <c r="F512" s="69"/>
      <c r="G512" s="69"/>
      <c r="H512" s="69"/>
      <c r="I512" s="69"/>
      <c r="J512" s="69"/>
      <c r="K512" s="69"/>
      <c r="L512" s="69"/>
      <c r="M512" s="69"/>
      <c r="N512" s="69"/>
      <c r="O512" s="69"/>
      <c r="P512" s="69"/>
      <c r="Q512" s="69"/>
      <c r="R512" s="69"/>
      <c r="S512" s="69"/>
      <c r="T512" s="69"/>
      <c r="U512" s="69"/>
      <c r="V512" s="69"/>
      <c r="W512" s="81"/>
      <c r="X512" s="69"/>
      <c r="Y512" s="69"/>
      <c r="Z512" s="69"/>
      <c r="AA512" s="69"/>
      <c r="AB512" s="69"/>
    </row>
    <row r="513" spans="1:28">
      <c r="A513" s="67"/>
      <c r="B513" s="67"/>
      <c r="C513" s="68"/>
      <c r="F513" s="69"/>
      <c r="G513" s="69"/>
      <c r="H513" s="69"/>
      <c r="I513" s="69"/>
      <c r="J513" s="69"/>
      <c r="K513" s="69"/>
      <c r="L513" s="69"/>
      <c r="M513" s="69"/>
      <c r="N513" s="69"/>
      <c r="O513" s="69"/>
      <c r="P513" s="69"/>
      <c r="Q513" s="69"/>
      <c r="R513" s="69"/>
      <c r="S513" s="69"/>
      <c r="T513" s="69"/>
      <c r="U513" s="69"/>
      <c r="V513" s="69"/>
      <c r="W513" s="81"/>
      <c r="X513" s="69"/>
      <c r="Y513" s="69"/>
      <c r="Z513" s="69"/>
      <c r="AA513" s="69"/>
      <c r="AB513" s="69"/>
    </row>
    <row r="514" spans="1:28">
      <c r="A514" s="67"/>
      <c r="B514" s="67"/>
      <c r="C514" s="68"/>
      <c r="F514" s="69"/>
      <c r="G514" s="69"/>
      <c r="H514" s="69"/>
      <c r="I514" s="69"/>
      <c r="J514" s="69"/>
      <c r="K514" s="69"/>
      <c r="L514" s="69"/>
      <c r="M514" s="69"/>
      <c r="N514" s="69"/>
      <c r="O514" s="69"/>
      <c r="P514" s="69"/>
      <c r="Q514" s="69"/>
      <c r="R514" s="69"/>
      <c r="S514" s="69"/>
      <c r="T514" s="69"/>
      <c r="U514" s="69"/>
      <c r="V514" s="69"/>
      <c r="W514" s="81"/>
      <c r="X514" s="69"/>
      <c r="Y514" s="69"/>
      <c r="Z514" s="69"/>
      <c r="AA514" s="69"/>
      <c r="AB514" s="69"/>
    </row>
    <row r="515" spans="1:28">
      <c r="A515" s="67"/>
      <c r="B515" s="67"/>
      <c r="C515" s="68"/>
      <c r="F515" s="69"/>
      <c r="G515" s="69"/>
      <c r="H515" s="69"/>
      <c r="I515" s="69"/>
      <c r="J515" s="69"/>
      <c r="K515" s="69"/>
      <c r="L515" s="69"/>
      <c r="M515" s="69"/>
      <c r="N515" s="69"/>
      <c r="O515" s="69"/>
      <c r="P515" s="69"/>
      <c r="Q515" s="69"/>
      <c r="R515" s="69"/>
      <c r="S515" s="69"/>
      <c r="T515" s="69"/>
      <c r="U515" s="69"/>
      <c r="V515" s="69"/>
      <c r="W515" s="81"/>
      <c r="X515" s="69"/>
      <c r="Y515" s="69"/>
      <c r="Z515" s="69"/>
      <c r="AA515" s="69"/>
      <c r="AB515" s="69"/>
    </row>
    <row r="516" spans="1:28">
      <c r="A516" s="67"/>
      <c r="B516" s="67"/>
      <c r="C516" s="68"/>
      <c r="F516" s="69"/>
      <c r="G516" s="69"/>
      <c r="H516" s="69"/>
      <c r="I516" s="69"/>
      <c r="J516" s="69"/>
      <c r="K516" s="69"/>
      <c r="L516" s="69"/>
      <c r="M516" s="69"/>
      <c r="N516" s="69"/>
      <c r="O516" s="69"/>
      <c r="P516" s="69"/>
      <c r="Q516" s="69"/>
      <c r="R516" s="69"/>
      <c r="S516" s="69"/>
      <c r="T516" s="69"/>
      <c r="U516" s="69"/>
      <c r="V516" s="69"/>
      <c r="W516" s="81"/>
      <c r="X516" s="69"/>
      <c r="Y516" s="69"/>
      <c r="Z516" s="69"/>
      <c r="AA516" s="69"/>
      <c r="AB516" s="69"/>
    </row>
    <row r="517" spans="1:28">
      <c r="A517" s="67"/>
      <c r="B517" s="67"/>
      <c r="C517" s="68"/>
      <c r="F517" s="69"/>
      <c r="G517" s="69"/>
      <c r="H517" s="69"/>
      <c r="I517" s="69"/>
      <c r="J517" s="69"/>
      <c r="K517" s="69"/>
      <c r="L517" s="69"/>
      <c r="M517" s="69"/>
      <c r="N517" s="69"/>
      <c r="O517" s="69"/>
      <c r="P517" s="69"/>
      <c r="Q517" s="69"/>
      <c r="R517" s="69"/>
      <c r="S517" s="69"/>
      <c r="T517" s="69"/>
      <c r="U517" s="69"/>
      <c r="V517" s="69"/>
      <c r="W517" s="81"/>
      <c r="X517" s="69"/>
      <c r="Y517" s="69"/>
      <c r="Z517" s="69"/>
      <c r="AA517" s="69"/>
      <c r="AB517" s="69"/>
    </row>
    <row r="518" spans="1:28">
      <c r="A518" s="67"/>
      <c r="B518" s="67"/>
      <c r="C518" s="68"/>
      <c r="F518" s="69"/>
      <c r="G518" s="69"/>
      <c r="H518" s="69"/>
      <c r="I518" s="69"/>
      <c r="J518" s="69"/>
      <c r="K518" s="69"/>
      <c r="L518" s="69"/>
      <c r="M518" s="69"/>
      <c r="N518" s="69"/>
      <c r="O518" s="69"/>
      <c r="P518" s="69"/>
      <c r="Q518" s="69"/>
      <c r="R518" s="69"/>
      <c r="S518" s="69"/>
      <c r="T518" s="69"/>
      <c r="U518" s="69"/>
      <c r="V518" s="69"/>
      <c r="W518" s="81"/>
      <c r="X518" s="69"/>
      <c r="Y518" s="69"/>
      <c r="Z518" s="69"/>
      <c r="AA518" s="69"/>
      <c r="AB518" s="69"/>
    </row>
    <row r="519" spans="1:28">
      <c r="A519" s="67"/>
      <c r="B519" s="67"/>
      <c r="C519" s="68"/>
      <c r="F519" s="69"/>
      <c r="G519" s="69"/>
      <c r="H519" s="69"/>
      <c r="I519" s="69"/>
      <c r="J519" s="69"/>
      <c r="K519" s="69"/>
      <c r="L519" s="69"/>
      <c r="M519" s="69"/>
      <c r="N519" s="69"/>
      <c r="O519" s="69"/>
      <c r="P519" s="69"/>
      <c r="Q519" s="69"/>
      <c r="R519" s="69"/>
      <c r="S519" s="69"/>
      <c r="T519" s="69"/>
      <c r="U519" s="69"/>
      <c r="V519" s="69"/>
      <c r="W519" s="81"/>
      <c r="X519" s="69"/>
      <c r="Y519" s="69"/>
      <c r="Z519" s="69"/>
      <c r="AA519" s="69"/>
      <c r="AB519" s="69"/>
    </row>
    <row r="520" spans="1:28">
      <c r="A520" s="67"/>
      <c r="B520" s="67"/>
      <c r="C520" s="68"/>
      <c r="F520" s="69"/>
      <c r="G520" s="69"/>
      <c r="H520" s="69"/>
      <c r="I520" s="69"/>
      <c r="J520" s="69"/>
      <c r="K520" s="69"/>
      <c r="L520" s="69"/>
      <c r="M520" s="69"/>
      <c r="N520" s="69"/>
      <c r="O520" s="69"/>
      <c r="P520" s="69"/>
      <c r="Q520" s="69"/>
      <c r="R520" s="69"/>
      <c r="S520" s="69"/>
      <c r="T520" s="69"/>
      <c r="U520" s="69"/>
      <c r="V520" s="69"/>
      <c r="W520" s="81"/>
      <c r="X520" s="69"/>
      <c r="Y520" s="69"/>
      <c r="Z520" s="69"/>
      <c r="AA520" s="69"/>
      <c r="AB520" s="69"/>
    </row>
    <row r="521" spans="1:28">
      <c r="A521" s="67"/>
      <c r="B521" s="67"/>
      <c r="C521" s="68"/>
      <c r="F521" s="69"/>
      <c r="G521" s="69"/>
      <c r="H521" s="69"/>
      <c r="I521" s="69"/>
      <c r="J521" s="69"/>
      <c r="K521" s="69"/>
      <c r="L521" s="69"/>
      <c r="M521" s="69"/>
      <c r="N521" s="69"/>
      <c r="O521" s="69"/>
      <c r="P521" s="69"/>
      <c r="Q521" s="69"/>
      <c r="R521" s="69"/>
      <c r="S521" s="69"/>
      <c r="T521" s="69"/>
      <c r="U521" s="69"/>
      <c r="V521" s="69"/>
      <c r="W521" s="81"/>
      <c r="X521" s="69"/>
      <c r="Y521" s="69"/>
      <c r="Z521" s="69"/>
      <c r="AA521" s="69"/>
      <c r="AB521" s="69"/>
    </row>
    <row r="522" spans="1:28">
      <c r="A522" s="67"/>
      <c r="B522" s="67"/>
      <c r="C522" s="68"/>
      <c r="F522" s="69"/>
      <c r="G522" s="69"/>
      <c r="H522" s="69"/>
      <c r="I522" s="69"/>
      <c r="J522" s="69"/>
      <c r="K522" s="69"/>
      <c r="L522" s="69"/>
      <c r="M522" s="69"/>
      <c r="N522" s="69"/>
      <c r="O522" s="69"/>
      <c r="P522" s="69"/>
      <c r="Q522" s="69"/>
      <c r="R522" s="69"/>
      <c r="S522" s="69"/>
      <c r="T522" s="69"/>
      <c r="U522" s="69"/>
      <c r="V522" s="69"/>
      <c r="W522" s="81"/>
      <c r="X522" s="69"/>
      <c r="Y522" s="69"/>
      <c r="Z522" s="69"/>
      <c r="AA522" s="69"/>
      <c r="AB522" s="69"/>
    </row>
    <row r="523" spans="1:28">
      <c r="A523" s="67"/>
      <c r="B523" s="67"/>
      <c r="C523" s="68"/>
      <c r="F523" s="69"/>
      <c r="G523" s="69"/>
      <c r="H523" s="69"/>
      <c r="I523" s="69"/>
      <c r="J523" s="69"/>
      <c r="K523" s="69"/>
      <c r="L523" s="69"/>
      <c r="M523" s="69"/>
      <c r="N523" s="69"/>
      <c r="O523" s="69"/>
      <c r="P523" s="69"/>
      <c r="Q523" s="69"/>
      <c r="R523" s="69"/>
      <c r="S523" s="69"/>
      <c r="T523" s="69"/>
      <c r="U523" s="69"/>
      <c r="V523" s="69"/>
      <c r="W523" s="81"/>
      <c r="X523" s="69"/>
      <c r="Y523" s="69"/>
      <c r="Z523" s="69"/>
      <c r="AA523" s="69"/>
      <c r="AB523" s="69"/>
    </row>
    <row r="524" spans="1:28">
      <c r="A524" s="67"/>
      <c r="B524" s="67"/>
      <c r="C524" s="68"/>
      <c r="F524" s="69"/>
      <c r="G524" s="69"/>
      <c r="H524" s="69"/>
      <c r="I524" s="69"/>
      <c r="J524" s="69"/>
      <c r="K524" s="69"/>
      <c r="L524" s="69"/>
      <c r="M524" s="69"/>
      <c r="N524" s="69"/>
      <c r="O524" s="69"/>
      <c r="P524" s="69"/>
      <c r="Q524" s="69"/>
      <c r="R524" s="69"/>
      <c r="S524" s="69"/>
      <c r="T524" s="69"/>
      <c r="U524" s="69"/>
      <c r="V524" s="69"/>
      <c r="W524" s="81"/>
      <c r="X524" s="69"/>
      <c r="Y524" s="69"/>
      <c r="Z524" s="69"/>
      <c r="AA524" s="69"/>
      <c r="AB524" s="69"/>
    </row>
    <row r="525" spans="1:28">
      <c r="A525" s="67"/>
      <c r="B525" s="67"/>
      <c r="C525" s="68"/>
      <c r="F525" s="69"/>
      <c r="G525" s="69"/>
      <c r="H525" s="69"/>
      <c r="I525" s="69"/>
      <c r="J525" s="69"/>
      <c r="K525" s="69"/>
      <c r="L525" s="69"/>
      <c r="M525" s="69"/>
      <c r="N525" s="69"/>
      <c r="O525" s="69"/>
      <c r="P525" s="69"/>
      <c r="Q525" s="69"/>
      <c r="R525" s="69"/>
      <c r="S525" s="69"/>
      <c r="T525" s="69"/>
      <c r="U525" s="69"/>
      <c r="V525" s="69"/>
      <c r="W525" s="81"/>
      <c r="X525" s="69"/>
      <c r="Y525" s="69"/>
      <c r="Z525" s="69"/>
      <c r="AA525" s="69"/>
      <c r="AB525" s="69"/>
    </row>
    <row r="526" spans="1:28">
      <c r="A526" s="67"/>
      <c r="B526" s="67"/>
      <c r="C526" s="68"/>
      <c r="F526" s="69"/>
      <c r="G526" s="69"/>
      <c r="H526" s="69"/>
      <c r="I526" s="69"/>
      <c r="J526" s="69"/>
      <c r="K526" s="69"/>
      <c r="L526" s="69"/>
      <c r="M526" s="69"/>
      <c r="N526" s="69"/>
      <c r="O526" s="69"/>
      <c r="P526" s="69"/>
      <c r="Q526" s="69"/>
      <c r="R526" s="69"/>
      <c r="S526" s="69"/>
      <c r="T526" s="69"/>
      <c r="U526" s="69"/>
      <c r="V526" s="69"/>
      <c r="W526" s="81"/>
      <c r="X526" s="69"/>
      <c r="Y526" s="69"/>
      <c r="Z526" s="69"/>
      <c r="AA526" s="69"/>
      <c r="AB526" s="69"/>
    </row>
    <row r="527" spans="1:28">
      <c r="A527" s="67"/>
      <c r="B527" s="67"/>
      <c r="C527" s="68"/>
      <c r="F527" s="69"/>
      <c r="G527" s="69"/>
      <c r="H527" s="69"/>
      <c r="I527" s="69"/>
      <c r="J527" s="69"/>
      <c r="K527" s="69"/>
      <c r="L527" s="69"/>
      <c r="M527" s="69"/>
      <c r="N527" s="69"/>
      <c r="O527" s="69"/>
      <c r="P527" s="69"/>
      <c r="Q527" s="69"/>
      <c r="R527" s="69"/>
      <c r="S527" s="69"/>
      <c r="T527" s="69"/>
      <c r="U527" s="69"/>
      <c r="V527" s="69"/>
      <c r="W527" s="81"/>
      <c r="X527" s="69"/>
      <c r="Y527" s="69"/>
      <c r="Z527" s="69"/>
      <c r="AA527" s="69"/>
      <c r="AB527" s="69"/>
    </row>
    <row r="528" spans="1:28">
      <c r="A528" s="67"/>
      <c r="B528" s="67"/>
      <c r="C528" s="68"/>
      <c r="F528" s="69"/>
      <c r="G528" s="69"/>
      <c r="H528" s="69"/>
      <c r="I528" s="69"/>
      <c r="J528" s="69"/>
      <c r="K528" s="69"/>
      <c r="L528" s="69"/>
      <c r="M528" s="69"/>
      <c r="N528" s="69"/>
      <c r="O528" s="69"/>
      <c r="P528" s="69"/>
      <c r="Q528" s="69"/>
      <c r="R528" s="69"/>
      <c r="S528" s="69"/>
      <c r="T528" s="69"/>
      <c r="U528" s="69"/>
      <c r="V528" s="69"/>
      <c r="W528" s="81"/>
      <c r="X528" s="69"/>
      <c r="Y528" s="69"/>
      <c r="Z528" s="69"/>
      <c r="AA528" s="69"/>
      <c r="AB528" s="69"/>
    </row>
    <row r="529" spans="1:28">
      <c r="A529" s="67"/>
      <c r="B529" s="67"/>
      <c r="C529" s="68"/>
      <c r="F529" s="69"/>
      <c r="G529" s="69"/>
      <c r="H529" s="69"/>
      <c r="I529" s="69"/>
      <c r="J529" s="69"/>
      <c r="K529" s="69"/>
      <c r="L529" s="69"/>
      <c r="M529" s="69"/>
      <c r="N529" s="69"/>
      <c r="O529" s="69"/>
      <c r="P529" s="69"/>
      <c r="Q529" s="69"/>
      <c r="R529" s="69"/>
      <c r="S529" s="69"/>
      <c r="T529" s="69"/>
      <c r="U529" s="69"/>
      <c r="V529" s="69"/>
      <c r="W529" s="81"/>
      <c r="X529" s="69"/>
      <c r="Y529" s="69"/>
      <c r="Z529" s="69"/>
      <c r="AA529" s="69"/>
      <c r="AB529" s="69"/>
    </row>
    <row r="530" spans="1:28">
      <c r="A530" s="67"/>
      <c r="B530" s="67"/>
      <c r="C530" s="68"/>
      <c r="F530" s="69"/>
      <c r="G530" s="69"/>
      <c r="H530" s="69"/>
      <c r="I530" s="69"/>
      <c r="J530" s="69"/>
      <c r="K530" s="69"/>
      <c r="L530" s="69"/>
      <c r="M530" s="69"/>
      <c r="N530" s="69"/>
      <c r="O530" s="69"/>
      <c r="P530" s="69"/>
      <c r="Q530" s="69"/>
      <c r="R530" s="69"/>
      <c r="S530" s="69"/>
      <c r="T530" s="69"/>
      <c r="U530" s="69"/>
      <c r="V530" s="69"/>
      <c r="W530" s="81"/>
      <c r="X530" s="69"/>
      <c r="Y530" s="69"/>
      <c r="Z530" s="69"/>
      <c r="AA530" s="69"/>
      <c r="AB530" s="69"/>
    </row>
    <row r="531" spans="1:28">
      <c r="A531" s="67"/>
      <c r="B531" s="67"/>
      <c r="C531" s="68"/>
      <c r="F531" s="69"/>
      <c r="G531" s="69"/>
      <c r="H531" s="69"/>
      <c r="I531" s="69"/>
      <c r="J531" s="69"/>
      <c r="K531" s="69"/>
      <c r="L531" s="69"/>
      <c r="M531" s="69"/>
      <c r="N531" s="69"/>
      <c r="O531" s="69"/>
      <c r="P531" s="69"/>
      <c r="Q531" s="69"/>
      <c r="R531" s="69"/>
      <c r="S531" s="69"/>
      <c r="T531" s="69"/>
      <c r="U531" s="69"/>
      <c r="V531" s="69"/>
      <c r="W531" s="81"/>
      <c r="X531" s="69"/>
      <c r="Y531" s="69"/>
      <c r="Z531" s="69"/>
      <c r="AA531" s="69"/>
      <c r="AB531" s="69"/>
    </row>
    <row r="532" spans="1:28">
      <c r="A532" s="67"/>
      <c r="B532" s="67"/>
      <c r="C532" s="68"/>
      <c r="F532" s="69"/>
      <c r="G532" s="69"/>
      <c r="H532" s="69"/>
      <c r="I532" s="69"/>
      <c r="J532" s="69"/>
      <c r="K532" s="69"/>
      <c r="L532" s="69"/>
      <c r="M532" s="69"/>
      <c r="N532" s="69"/>
      <c r="O532" s="69"/>
      <c r="P532" s="69"/>
      <c r="Q532" s="69"/>
      <c r="R532" s="69"/>
      <c r="S532" s="69"/>
      <c r="T532" s="69"/>
      <c r="U532" s="69"/>
      <c r="V532" s="69"/>
      <c r="W532" s="81"/>
      <c r="X532" s="69"/>
      <c r="Y532" s="69"/>
      <c r="Z532" s="69"/>
      <c r="AA532" s="69"/>
      <c r="AB532" s="69"/>
    </row>
    <row r="533" spans="1:28">
      <c r="A533" s="67"/>
      <c r="B533" s="67"/>
      <c r="C533" s="68"/>
      <c r="F533" s="69"/>
      <c r="G533" s="69"/>
      <c r="H533" s="69"/>
      <c r="I533" s="69"/>
      <c r="J533" s="69"/>
      <c r="K533" s="69"/>
      <c r="L533" s="69"/>
      <c r="M533" s="69"/>
      <c r="N533" s="69"/>
      <c r="O533" s="69"/>
      <c r="P533" s="69"/>
      <c r="Q533" s="69"/>
      <c r="R533" s="69"/>
      <c r="S533" s="69"/>
      <c r="T533" s="69"/>
      <c r="U533" s="69"/>
      <c r="V533" s="69"/>
      <c r="W533" s="81"/>
      <c r="X533" s="69"/>
      <c r="Y533" s="69"/>
      <c r="Z533" s="69"/>
      <c r="AA533" s="69"/>
      <c r="AB533" s="69"/>
    </row>
    <row r="534" spans="1:28">
      <c r="A534" s="67"/>
      <c r="B534" s="67"/>
      <c r="C534" s="68"/>
      <c r="F534" s="69"/>
      <c r="G534" s="69"/>
      <c r="H534" s="69"/>
      <c r="I534" s="69"/>
      <c r="J534" s="69"/>
      <c r="K534" s="69"/>
      <c r="L534" s="69"/>
      <c r="M534" s="69"/>
      <c r="N534" s="69"/>
      <c r="O534" s="69"/>
      <c r="P534" s="69"/>
      <c r="Q534" s="69"/>
      <c r="R534" s="69"/>
      <c r="S534" s="69"/>
      <c r="T534" s="69"/>
      <c r="U534" s="69"/>
      <c r="V534" s="69"/>
      <c r="W534" s="81"/>
      <c r="X534" s="69"/>
      <c r="Y534" s="69"/>
      <c r="Z534" s="69"/>
      <c r="AA534" s="69"/>
      <c r="AB534" s="69"/>
    </row>
    <row r="535" spans="1:28">
      <c r="A535" s="67"/>
      <c r="B535" s="67"/>
      <c r="C535" s="68"/>
      <c r="F535" s="69"/>
      <c r="G535" s="69"/>
      <c r="H535" s="69"/>
      <c r="I535" s="69"/>
      <c r="J535" s="69"/>
      <c r="K535" s="69"/>
      <c r="L535" s="69"/>
      <c r="M535" s="69"/>
      <c r="N535" s="69"/>
      <c r="O535" s="69"/>
      <c r="P535" s="69"/>
      <c r="Q535" s="69"/>
      <c r="R535" s="69"/>
      <c r="S535" s="69"/>
      <c r="T535" s="69"/>
      <c r="U535" s="69"/>
      <c r="V535" s="69"/>
      <c r="W535" s="81"/>
      <c r="X535" s="69"/>
      <c r="Y535" s="69"/>
      <c r="Z535" s="69"/>
      <c r="AA535" s="69"/>
      <c r="AB535" s="69"/>
    </row>
    <row r="536" spans="1:28">
      <c r="A536" s="67"/>
      <c r="B536" s="67"/>
      <c r="C536" s="68"/>
      <c r="F536" s="69"/>
      <c r="G536" s="69"/>
      <c r="H536" s="69"/>
      <c r="I536" s="69"/>
      <c r="J536" s="69"/>
      <c r="K536" s="69"/>
      <c r="L536" s="69"/>
      <c r="M536" s="69"/>
      <c r="N536" s="69"/>
      <c r="O536" s="69"/>
      <c r="P536" s="69"/>
      <c r="Q536" s="69"/>
      <c r="R536" s="69"/>
      <c r="S536" s="69"/>
      <c r="T536" s="69"/>
      <c r="U536" s="69"/>
      <c r="V536" s="69"/>
      <c r="W536" s="81"/>
      <c r="X536" s="69"/>
      <c r="Y536" s="69"/>
      <c r="Z536" s="69"/>
      <c r="AA536" s="69"/>
      <c r="AB536" s="69"/>
    </row>
    <row r="537" spans="1:28">
      <c r="A537" s="67"/>
      <c r="B537" s="67"/>
      <c r="C537" s="68"/>
      <c r="F537" s="69"/>
      <c r="G537" s="69"/>
      <c r="H537" s="69"/>
      <c r="I537" s="69"/>
      <c r="J537" s="69"/>
      <c r="K537" s="69"/>
      <c r="L537" s="69"/>
      <c r="M537" s="69"/>
      <c r="N537" s="69"/>
      <c r="O537" s="69"/>
      <c r="P537" s="69"/>
      <c r="Q537" s="69"/>
      <c r="R537" s="69"/>
      <c r="S537" s="69"/>
      <c r="T537" s="69"/>
      <c r="U537" s="69"/>
      <c r="V537" s="69"/>
      <c r="W537" s="81"/>
      <c r="X537" s="69"/>
      <c r="Y537" s="69"/>
      <c r="Z537" s="69"/>
      <c r="AA537" s="69"/>
      <c r="AB537" s="69"/>
    </row>
    <row r="538" spans="1:28">
      <c r="A538" s="67"/>
      <c r="B538" s="67"/>
      <c r="C538" s="68"/>
      <c r="F538" s="69"/>
      <c r="G538" s="69"/>
      <c r="H538" s="69"/>
      <c r="I538" s="69"/>
      <c r="J538" s="69"/>
      <c r="K538" s="69"/>
      <c r="L538" s="69"/>
      <c r="M538" s="69"/>
      <c r="N538" s="69"/>
      <c r="O538" s="69"/>
      <c r="P538" s="69"/>
      <c r="Q538" s="69"/>
      <c r="R538" s="69"/>
      <c r="S538" s="69"/>
      <c r="T538" s="69"/>
      <c r="U538" s="69"/>
      <c r="V538" s="69"/>
      <c r="W538" s="81"/>
      <c r="X538" s="69"/>
      <c r="Y538" s="69"/>
      <c r="Z538" s="69"/>
      <c r="AA538" s="69"/>
      <c r="AB538" s="69"/>
    </row>
    <row r="539" spans="1:28">
      <c r="A539" s="67"/>
      <c r="B539" s="67"/>
      <c r="C539" s="68"/>
      <c r="F539" s="69"/>
      <c r="G539" s="69"/>
      <c r="H539" s="69"/>
      <c r="I539" s="69"/>
      <c r="J539" s="69"/>
      <c r="K539" s="69"/>
      <c r="L539" s="69"/>
      <c r="M539" s="69"/>
      <c r="N539" s="69"/>
      <c r="O539" s="69"/>
      <c r="P539" s="69"/>
      <c r="Q539" s="69"/>
      <c r="R539" s="69"/>
      <c r="S539" s="69"/>
      <c r="T539" s="69"/>
      <c r="U539" s="69"/>
      <c r="V539" s="69"/>
      <c r="W539" s="81"/>
      <c r="X539" s="69"/>
      <c r="Y539" s="69"/>
      <c r="Z539" s="69"/>
      <c r="AA539" s="69"/>
      <c r="AB539" s="69"/>
    </row>
    <row r="540" spans="1:28">
      <c r="A540" s="67"/>
      <c r="B540" s="67"/>
      <c r="C540" s="68"/>
      <c r="F540" s="69"/>
      <c r="G540" s="69"/>
      <c r="H540" s="69"/>
      <c r="I540" s="69"/>
      <c r="J540" s="69"/>
      <c r="K540" s="69"/>
      <c r="L540" s="69"/>
      <c r="M540" s="69"/>
      <c r="N540" s="69"/>
      <c r="O540" s="69"/>
      <c r="P540" s="69"/>
      <c r="Q540" s="69"/>
      <c r="R540" s="69"/>
      <c r="S540" s="69"/>
      <c r="T540" s="69"/>
      <c r="U540" s="69"/>
      <c r="V540" s="69"/>
      <c r="W540" s="81"/>
      <c r="X540" s="69"/>
      <c r="Y540" s="69"/>
      <c r="Z540" s="69"/>
      <c r="AA540" s="69"/>
      <c r="AB540" s="69"/>
    </row>
    <row r="541" spans="1:28">
      <c r="A541" s="67"/>
      <c r="B541" s="67"/>
      <c r="C541" s="68"/>
      <c r="F541" s="69"/>
      <c r="G541" s="69"/>
      <c r="H541" s="69"/>
      <c r="I541" s="69"/>
      <c r="J541" s="69"/>
      <c r="K541" s="69"/>
      <c r="L541" s="69"/>
      <c r="M541" s="69"/>
      <c r="N541" s="69"/>
      <c r="O541" s="69"/>
      <c r="P541" s="69"/>
      <c r="Q541" s="69"/>
      <c r="R541" s="69"/>
      <c r="S541" s="69"/>
      <c r="T541" s="69"/>
      <c r="U541" s="69"/>
      <c r="V541" s="69"/>
      <c r="W541" s="81"/>
      <c r="X541" s="69"/>
      <c r="Y541" s="69"/>
      <c r="Z541" s="69"/>
      <c r="AA541" s="69"/>
      <c r="AB541" s="69"/>
    </row>
    <row r="542" spans="1:28">
      <c r="A542" s="67"/>
      <c r="B542" s="67"/>
      <c r="C542" s="68"/>
      <c r="F542" s="69"/>
      <c r="G542" s="69"/>
      <c r="H542" s="69"/>
      <c r="I542" s="69"/>
      <c r="J542" s="69"/>
      <c r="K542" s="69"/>
      <c r="L542" s="69"/>
      <c r="M542" s="69"/>
      <c r="N542" s="69"/>
      <c r="O542" s="69"/>
      <c r="P542" s="69"/>
      <c r="Q542" s="69"/>
      <c r="R542" s="69"/>
      <c r="S542" s="69"/>
      <c r="T542" s="69"/>
      <c r="U542" s="69"/>
      <c r="V542" s="69"/>
      <c r="W542" s="81"/>
      <c r="X542" s="69"/>
      <c r="Y542" s="69"/>
      <c r="Z542" s="69"/>
      <c r="AA542" s="69"/>
      <c r="AB542" s="69"/>
    </row>
    <row r="543" spans="1:28">
      <c r="A543" s="67"/>
      <c r="B543" s="67"/>
      <c r="C543" s="68"/>
      <c r="F543" s="69"/>
      <c r="G543" s="69"/>
      <c r="H543" s="69"/>
      <c r="I543" s="69"/>
      <c r="J543" s="69"/>
      <c r="K543" s="69"/>
      <c r="L543" s="69"/>
      <c r="M543" s="69"/>
      <c r="N543" s="69"/>
      <c r="O543" s="69"/>
      <c r="P543" s="69"/>
      <c r="Q543" s="69"/>
      <c r="R543" s="69"/>
      <c r="S543" s="69"/>
      <c r="T543" s="69"/>
      <c r="U543" s="69"/>
      <c r="V543" s="69"/>
      <c r="W543" s="81"/>
      <c r="X543" s="69"/>
      <c r="Y543" s="69"/>
      <c r="Z543" s="69"/>
      <c r="AA543" s="69"/>
      <c r="AB543" s="69"/>
    </row>
    <row r="544" spans="1:28">
      <c r="A544" s="67"/>
      <c r="B544" s="67"/>
      <c r="C544" s="68"/>
      <c r="F544" s="69"/>
      <c r="G544" s="69"/>
      <c r="H544" s="69"/>
      <c r="I544" s="69"/>
      <c r="J544" s="69"/>
      <c r="K544" s="69"/>
      <c r="L544" s="69"/>
      <c r="M544" s="69"/>
      <c r="N544" s="69"/>
      <c r="O544" s="69"/>
      <c r="P544" s="69"/>
      <c r="Q544" s="69"/>
      <c r="R544" s="69"/>
      <c r="S544" s="69"/>
      <c r="T544" s="69"/>
      <c r="U544" s="69"/>
      <c r="V544" s="69"/>
      <c r="W544" s="81"/>
      <c r="X544" s="69"/>
      <c r="Y544" s="69"/>
      <c r="Z544" s="69"/>
      <c r="AA544" s="69"/>
      <c r="AB544" s="69"/>
    </row>
    <row r="545" spans="1:28">
      <c r="A545" s="67"/>
      <c r="B545" s="67"/>
      <c r="C545" s="68"/>
      <c r="F545" s="69"/>
      <c r="G545" s="69"/>
      <c r="H545" s="69"/>
      <c r="I545" s="69"/>
      <c r="J545" s="69"/>
      <c r="K545" s="69"/>
      <c r="L545" s="69"/>
      <c r="M545" s="69"/>
      <c r="N545" s="69"/>
      <c r="O545" s="69"/>
      <c r="P545" s="69"/>
      <c r="Q545" s="69"/>
      <c r="R545" s="69"/>
      <c r="S545" s="69"/>
      <c r="T545" s="69"/>
      <c r="U545" s="69"/>
      <c r="V545" s="69"/>
      <c r="W545" s="81"/>
      <c r="X545" s="69"/>
      <c r="Y545" s="69"/>
      <c r="Z545" s="69"/>
      <c r="AA545" s="69"/>
      <c r="AB545" s="69"/>
    </row>
    <row r="546" spans="1:28">
      <c r="A546" s="67"/>
      <c r="B546" s="67"/>
      <c r="C546" s="68"/>
      <c r="F546" s="69"/>
      <c r="G546" s="69"/>
      <c r="H546" s="69"/>
      <c r="I546" s="69"/>
      <c r="J546" s="69"/>
      <c r="K546" s="69"/>
      <c r="L546" s="69"/>
      <c r="M546" s="69"/>
      <c r="N546" s="69"/>
      <c r="O546" s="69"/>
      <c r="P546" s="69"/>
      <c r="Q546" s="69"/>
      <c r="R546" s="69"/>
      <c r="S546" s="69"/>
      <c r="T546" s="69"/>
      <c r="U546" s="69"/>
      <c r="V546" s="69"/>
      <c r="W546" s="81"/>
      <c r="X546" s="69"/>
      <c r="Y546" s="69"/>
      <c r="Z546" s="69"/>
      <c r="AA546" s="69"/>
      <c r="AB546" s="69"/>
    </row>
    <row r="547" spans="1:28">
      <c r="A547" s="67"/>
      <c r="B547" s="67"/>
      <c r="C547" s="68"/>
      <c r="F547" s="69"/>
      <c r="G547" s="69"/>
      <c r="H547" s="69"/>
      <c r="I547" s="69"/>
      <c r="J547" s="69"/>
      <c r="K547" s="69"/>
      <c r="L547" s="69"/>
      <c r="M547" s="69"/>
      <c r="N547" s="69"/>
      <c r="O547" s="69"/>
      <c r="P547" s="69"/>
      <c r="Q547" s="69"/>
      <c r="R547" s="69"/>
      <c r="S547" s="69"/>
      <c r="T547" s="69"/>
      <c r="U547" s="69"/>
      <c r="V547" s="69"/>
      <c r="W547" s="81"/>
      <c r="X547" s="69"/>
      <c r="Y547" s="69"/>
      <c r="Z547" s="69"/>
      <c r="AA547" s="69"/>
      <c r="AB547" s="69"/>
    </row>
    <row r="548" spans="1:28">
      <c r="A548" s="67"/>
      <c r="B548" s="67"/>
      <c r="C548" s="68"/>
      <c r="F548" s="69"/>
      <c r="G548" s="69"/>
      <c r="H548" s="69"/>
      <c r="I548" s="69"/>
      <c r="J548" s="69"/>
      <c r="K548" s="69"/>
      <c r="L548" s="69"/>
      <c r="M548" s="69"/>
      <c r="N548" s="69"/>
      <c r="O548" s="69"/>
      <c r="P548" s="69"/>
      <c r="Q548" s="69"/>
      <c r="R548" s="69"/>
      <c r="S548" s="69"/>
      <c r="T548" s="69"/>
      <c r="U548" s="69"/>
      <c r="V548" s="69"/>
      <c r="W548" s="81"/>
      <c r="X548" s="69"/>
      <c r="Y548" s="69"/>
      <c r="Z548" s="69"/>
      <c r="AA548" s="69"/>
      <c r="AB548" s="69"/>
    </row>
    <row r="549" spans="1:28">
      <c r="A549" s="67"/>
      <c r="B549" s="67"/>
      <c r="C549" s="68"/>
      <c r="F549" s="69"/>
      <c r="G549" s="69"/>
      <c r="H549" s="69"/>
      <c r="I549" s="69"/>
      <c r="J549" s="69"/>
      <c r="K549" s="69"/>
      <c r="L549" s="69"/>
      <c r="M549" s="69"/>
      <c r="N549" s="69"/>
      <c r="O549" s="69"/>
      <c r="P549" s="69"/>
      <c r="Q549" s="69"/>
      <c r="R549" s="69"/>
      <c r="S549" s="69"/>
      <c r="T549" s="69"/>
      <c r="U549" s="69"/>
      <c r="V549" s="69"/>
      <c r="W549" s="81"/>
      <c r="X549" s="69"/>
      <c r="Y549" s="69"/>
      <c r="Z549" s="69"/>
      <c r="AA549" s="69"/>
      <c r="AB549" s="69"/>
    </row>
    <row r="550" spans="1:28">
      <c r="A550" s="67"/>
      <c r="B550" s="67"/>
      <c r="C550" s="68"/>
      <c r="F550" s="69"/>
      <c r="G550" s="69"/>
      <c r="H550" s="69"/>
      <c r="I550" s="69"/>
      <c r="J550" s="69"/>
      <c r="K550" s="69"/>
      <c r="L550" s="69"/>
      <c r="M550" s="69"/>
      <c r="N550" s="69"/>
      <c r="O550" s="69"/>
      <c r="P550" s="69"/>
      <c r="Q550" s="69"/>
      <c r="R550" s="69"/>
      <c r="S550" s="69"/>
      <c r="T550" s="69"/>
      <c r="U550" s="69"/>
      <c r="V550" s="69"/>
      <c r="W550" s="81"/>
      <c r="X550" s="69"/>
      <c r="Y550" s="69"/>
      <c r="Z550" s="69"/>
      <c r="AA550" s="69"/>
      <c r="AB550" s="69"/>
    </row>
    <row r="551" spans="1:28">
      <c r="A551" s="67"/>
      <c r="B551" s="67"/>
      <c r="C551" s="68"/>
      <c r="F551" s="69"/>
      <c r="G551" s="69"/>
      <c r="H551" s="69"/>
      <c r="I551" s="69"/>
      <c r="J551" s="69"/>
      <c r="K551" s="69"/>
      <c r="L551" s="69"/>
      <c r="M551" s="69"/>
      <c r="N551" s="69"/>
      <c r="O551" s="69"/>
      <c r="P551" s="69"/>
      <c r="Q551" s="69"/>
      <c r="R551" s="69"/>
      <c r="S551" s="69"/>
      <c r="T551" s="69"/>
      <c r="U551" s="69"/>
      <c r="V551" s="69"/>
      <c r="W551" s="81"/>
      <c r="X551" s="69"/>
      <c r="Y551" s="69"/>
      <c r="Z551" s="69"/>
      <c r="AA551" s="69"/>
      <c r="AB551" s="69"/>
    </row>
    <row r="552" spans="1:28">
      <c r="A552" s="67"/>
      <c r="B552" s="67"/>
      <c r="C552" s="68"/>
      <c r="F552" s="69"/>
      <c r="G552" s="69"/>
      <c r="H552" s="69"/>
      <c r="I552" s="69"/>
      <c r="J552" s="69"/>
      <c r="K552" s="69"/>
      <c r="L552" s="69"/>
      <c r="M552" s="69"/>
      <c r="N552" s="69"/>
      <c r="O552" s="69"/>
      <c r="P552" s="69"/>
      <c r="Q552" s="69"/>
      <c r="R552" s="69"/>
      <c r="S552" s="69"/>
      <c r="T552" s="69"/>
      <c r="U552" s="69"/>
      <c r="V552" s="69"/>
      <c r="W552" s="81"/>
      <c r="X552" s="69"/>
      <c r="Y552" s="69"/>
      <c r="Z552" s="69"/>
      <c r="AA552" s="69"/>
      <c r="AB552" s="69"/>
    </row>
    <row r="553" spans="1:28">
      <c r="A553" s="67"/>
      <c r="B553" s="67"/>
      <c r="C553" s="68"/>
      <c r="F553" s="69"/>
      <c r="G553" s="69"/>
      <c r="H553" s="69"/>
      <c r="I553" s="69"/>
      <c r="J553" s="69"/>
      <c r="K553" s="69"/>
      <c r="L553" s="69"/>
      <c r="M553" s="69"/>
      <c r="N553" s="69"/>
      <c r="O553" s="69"/>
      <c r="P553" s="69"/>
      <c r="Q553" s="69"/>
      <c r="R553" s="69"/>
      <c r="S553" s="69"/>
      <c r="T553" s="69"/>
      <c r="U553" s="69"/>
      <c r="V553" s="69"/>
      <c r="W553" s="81"/>
      <c r="X553" s="69"/>
      <c r="Y553" s="69"/>
      <c r="Z553" s="69"/>
      <c r="AA553" s="69"/>
      <c r="AB553" s="69"/>
    </row>
    <row r="554" spans="1:28">
      <c r="A554" s="67"/>
      <c r="B554" s="67"/>
      <c r="C554" s="68"/>
      <c r="F554" s="69"/>
      <c r="G554" s="69"/>
      <c r="H554" s="69"/>
      <c r="I554" s="69"/>
      <c r="J554" s="69"/>
      <c r="K554" s="69"/>
      <c r="L554" s="69"/>
      <c r="M554" s="69"/>
      <c r="N554" s="69"/>
      <c r="O554" s="69"/>
      <c r="P554" s="69"/>
      <c r="Q554" s="69"/>
      <c r="R554" s="69"/>
      <c r="S554" s="69"/>
      <c r="T554" s="69"/>
      <c r="U554" s="69"/>
      <c r="V554" s="69"/>
      <c r="W554" s="81"/>
      <c r="X554" s="69"/>
      <c r="Y554" s="69"/>
      <c r="Z554" s="69"/>
      <c r="AA554" s="69"/>
      <c r="AB554" s="69"/>
    </row>
    <row r="555" spans="1:28">
      <c r="A555" s="67"/>
      <c r="B555" s="67"/>
      <c r="C555" s="68"/>
      <c r="F555" s="69"/>
      <c r="G555" s="69"/>
      <c r="H555" s="69"/>
      <c r="I555" s="69"/>
      <c r="J555" s="69"/>
      <c r="K555" s="69"/>
      <c r="L555" s="69"/>
      <c r="M555" s="69"/>
      <c r="N555" s="69"/>
      <c r="O555" s="69"/>
      <c r="P555" s="69"/>
      <c r="Q555" s="69"/>
      <c r="R555" s="69"/>
      <c r="S555" s="69"/>
      <c r="T555" s="69"/>
      <c r="U555" s="69"/>
      <c r="V555" s="69"/>
      <c r="W555" s="81"/>
      <c r="X555" s="69"/>
      <c r="Y555" s="69"/>
      <c r="Z555" s="69"/>
      <c r="AA555" s="69"/>
      <c r="AB555" s="69"/>
    </row>
    <row r="556" spans="1:28">
      <c r="A556" s="67"/>
      <c r="B556" s="67"/>
      <c r="C556" s="68"/>
      <c r="F556" s="69"/>
      <c r="G556" s="69"/>
      <c r="H556" s="69"/>
      <c r="I556" s="69"/>
      <c r="J556" s="69"/>
      <c r="K556" s="69"/>
      <c r="L556" s="69"/>
      <c r="M556" s="69"/>
      <c r="N556" s="69"/>
      <c r="O556" s="69"/>
      <c r="P556" s="69"/>
      <c r="Q556" s="69"/>
      <c r="R556" s="69"/>
      <c r="S556" s="69"/>
      <c r="T556" s="69"/>
      <c r="U556" s="69"/>
      <c r="V556" s="69"/>
      <c r="W556" s="81"/>
      <c r="X556" s="69"/>
      <c r="Y556" s="69"/>
      <c r="Z556" s="69"/>
      <c r="AA556" s="69"/>
      <c r="AB556" s="69"/>
    </row>
    <row r="557" spans="1:28">
      <c r="A557" s="67"/>
      <c r="B557" s="67"/>
      <c r="C557" s="68"/>
      <c r="F557" s="69"/>
      <c r="G557" s="69"/>
      <c r="H557" s="69"/>
      <c r="I557" s="69"/>
      <c r="J557" s="69"/>
      <c r="K557" s="69"/>
      <c r="L557" s="69"/>
      <c r="M557" s="69"/>
      <c r="N557" s="69"/>
      <c r="O557" s="69"/>
      <c r="P557" s="69"/>
      <c r="Q557" s="69"/>
      <c r="R557" s="69"/>
      <c r="S557" s="69"/>
      <c r="T557" s="69"/>
      <c r="U557" s="69"/>
      <c r="V557" s="69"/>
      <c r="W557" s="81"/>
      <c r="X557" s="69"/>
      <c r="Y557" s="69"/>
      <c r="Z557" s="69"/>
      <c r="AA557" s="69"/>
      <c r="AB557" s="69"/>
    </row>
    <row r="558" spans="1:28">
      <c r="A558" s="67"/>
      <c r="B558" s="67"/>
      <c r="C558" s="68"/>
      <c r="F558" s="69"/>
      <c r="G558" s="69"/>
      <c r="H558" s="69"/>
      <c r="I558" s="69"/>
      <c r="J558" s="69"/>
      <c r="K558" s="69"/>
      <c r="L558" s="69"/>
      <c r="M558" s="69"/>
      <c r="N558" s="69"/>
      <c r="O558" s="69"/>
      <c r="P558" s="69"/>
      <c r="Q558" s="69"/>
      <c r="R558" s="69"/>
      <c r="S558" s="69"/>
      <c r="T558" s="69"/>
      <c r="U558" s="69"/>
      <c r="V558" s="69"/>
      <c r="W558" s="81"/>
      <c r="X558" s="69"/>
      <c r="Y558" s="69"/>
      <c r="Z558" s="69"/>
      <c r="AA558" s="69"/>
      <c r="AB558" s="69"/>
    </row>
    <row r="559" spans="1:28">
      <c r="A559" s="67"/>
      <c r="B559" s="67"/>
      <c r="C559" s="68"/>
      <c r="F559" s="69"/>
      <c r="G559" s="69"/>
      <c r="H559" s="69"/>
      <c r="I559" s="69"/>
      <c r="J559" s="69"/>
      <c r="K559" s="69"/>
      <c r="L559" s="69"/>
      <c r="M559" s="69"/>
      <c r="N559" s="69"/>
      <c r="O559" s="69"/>
      <c r="P559" s="69"/>
      <c r="Q559" s="69"/>
      <c r="R559" s="69"/>
      <c r="S559" s="69"/>
      <c r="T559" s="69"/>
      <c r="U559" s="69"/>
      <c r="V559" s="69"/>
      <c r="W559" s="81"/>
      <c r="X559" s="69"/>
      <c r="Y559" s="69"/>
      <c r="Z559" s="69"/>
      <c r="AA559" s="69"/>
      <c r="AB559" s="69"/>
    </row>
    <row r="560" spans="1:28">
      <c r="A560" s="67"/>
      <c r="B560" s="67"/>
      <c r="C560" s="68"/>
      <c r="F560" s="69"/>
      <c r="G560" s="69"/>
      <c r="H560" s="69"/>
      <c r="I560" s="69"/>
      <c r="J560" s="69"/>
      <c r="K560" s="69"/>
      <c r="L560" s="69"/>
      <c r="M560" s="69"/>
      <c r="N560" s="69"/>
      <c r="O560" s="69"/>
      <c r="P560" s="69"/>
      <c r="Q560" s="69"/>
      <c r="R560" s="69"/>
      <c r="S560" s="69"/>
      <c r="T560" s="69"/>
      <c r="U560" s="69"/>
      <c r="V560" s="69"/>
      <c r="W560" s="81"/>
      <c r="X560" s="69"/>
      <c r="Y560" s="69"/>
      <c r="Z560" s="69"/>
      <c r="AA560" s="69"/>
      <c r="AB560" s="69"/>
    </row>
    <row r="561" spans="1:28">
      <c r="A561" s="67"/>
      <c r="B561" s="67"/>
      <c r="C561" s="68"/>
      <c r="F561" s="69"/>
      <c r="G561" s="69"/>
      <c r="H561" s="69"/>
      <c r="I561" s="69"/>
      <c r="J561" s="69"/>
      <c r="K561" s="69"/>
      <c r="L561" s="69"/>
      <c r="M561" s="69"/>
      <c r="N561" s="69"/>
      <c r="O561" s="69"/>
      <c r="P561" s="69"/>
      <c r="Q561" s="69"/>
      <c r="R561" s="69"/>
      <c r="S561" s="69"/>
      <c r="T561" s="69"/>
      <c r="U561" s="69"/>
      <c r="V561" s="69"/>
      <c r="W561" s="81"/>
      <c r="X561" s="69"/>
      <c r="Y561" s="69"/>
      <c r="Z561" s="69"/>
      <c r="AA561" s="69"/>
      <c r="AB561" s="69"/>
    </row>
    <row r="562" spans="1:28">
      <c r="A562" s="67"/>
      <c r="B562" s="67"/>
      <c r="C562" s="68"/>
      <c r="F562" s="69"/>
      <c r="G562" s="69"/>
      <c r="H562" s="69"/>
      <c r="I562" s="69"/>
      <c r="J562" s="69"/>
      <c r="K562" s="69"/>
      <c r="L562" s="69"/>
      <c r="M562" s="69"/>
      <c r="N562" s="69"/>
      <c r="O562" s="69"/>
      <c r="P562" s="69"/>
      <c r="Q562" s="69"/>
      <c r="R562" s="69"/>
      <c r="S562" s="69"/>
      <c r="T562" s="69"/>
      <c r="U562" s="69"/>
      <c r="V562" s="69"/>
      <c r="W562" s="81"/>
      <c r="X562" s="69"/>
      <c r="Y562" s="69"/>
      <c r="Z562" s="69"/>
      <c r="AA562" s="69"/>
      <c r="AB562" s="69"/>
    </row>
    <row r="563" spans="1:28">
      <c r="A563" s="67"/>
      <c r="B563" s="67"/>
      <c r="C563" s="68"/>
      <c r="F563" s="69"/>
      <c r="G563" s="69"/>
      <c r="H563" s="69"/>
      <c r="I563" s="69"/>
      <c r="J563" s="69"/>
      <c r="K563" s="69"/>
      <c r="L563" s="69"/>
      <c r="M563" s="69"/>
      <c r="N563" s="69"/>
      <c r="O563" s="69"/>
      <c r="P563" s="69"/>
      <c r="Q563" s="69"/>
      <c r="R563" s="69"/>
      <c r="S563" s="69"/>
      <c r="T563" s="69"/>
      <c r="U563" s="69"/>
      <c r="V563" s="69"/>
      <c r="W563" s="81"/>
      <c r="X563" s="69"/>
      <c r="Y563" s="69"/>
      <c r="Z563" s="69"/>
      <c r="AA563" s="69"/>
      <c r="AB563" s="69"/>
    </row>
    <row r="564" spans="1:28">
      <c r="A564" s="67"/>
      <c r="B564" s="67"/>
      <c r="C564" s="68"/>
      <c r="F564" s="69"/>
      <c r="G564" s="69"/>
      <c r="H564" s="69"/>
      <c r="I564" s="69"/>
      <c r="J564" s="69"/>
      <c r="K564" s="69"/>
      <c r="L564" s="69"/>
      <c r="M564" s="69"/>
      <c r="N564" s="69"/>
      <c r="O564" s="69"/>
      <c r="P564" s="69"/>
      <c r="Q564" s="69"/>
      <c r="R564" s="69"/>
      <c r="S564" s="69"/>
      <c r="T564" s="69"/>
      <c r="U564" s="69"/>
      <c r="V564" s="69"/>
      <c r="W564" s="81"/>
      <c r="X564" s="69"/>
      <c r="Y564" s="69"/>
      <c r="Z564" s="69"/>
      <c r="AA564" s="69"/>
      <c r="AB564" s="69"/>
    </row>
    <row r="565" spans="1:28">
      <c r="A565" s="67"/>
      <c r="B565" s="67"/>
      <c r="C565" s="68"/>
      <c r="F565" s="69"/>
      <c r="G565" s="69"/>
      <c r="H565" s="69"/>
      <c r="I565" s="69"/>
      <c r="J565" s="69"/>
      <c r="K565" s="69"/>
      <c r="L565" s="69"/>
      <c r="M565" s="69"/>
      <c r="N565" s="69"/>
      <c r="O565" s="69"/>
      <c r="P565" s="69"/>
      <c r="Q565" s="69"/>
      <c r="R565" s="69"/>
      <c r="S565" s="69"/>
      <c r="T565" s="69"/>
      <c r="U565" s="69"/>
      <c r="V565" s="69"/>
      <c r="W565" s="81"/>
      <c r="X565" s="69"/>
      <c r="Y565" s="69"/>
      <c r="Z565" s="69"/>
      <c r="AA565" s="69"/>
      <c r="AB565" s="69"/>
    </row>
    <row r="566" spans="1:28">
      <c r="A566" s="67"/>
      <c r="B566" s="67"/>
      <c r="C566" s="68"/>
      <c r="F566" s="69"/>
      <c r="G566" s="69"/>
      <c r="H566" s="69"/>
      <c r="I566" s="69"/>
      <c r="J566" s="69"/>
      <c r="K566" s="69"/>
      <c r="L566" s="69"/>
      <c r="M566" s="69"/>
      <c r="N566" s="69"/>
      <c r="O566" s="69"/>
      <c r="P566" s="69"/>
      <c r="Q566" s="69"/>
      <c r="R566" s="69"/>
      <c r="S566" s="69"/>
      <c r="T566" s="69"/>
      <c r="U566" s="69"/>
      <c r="V566" s="69"/>
      <c r="W566" s="81"/>
      <c r="X566" s="69"/>
      <c r="Y566" s="69"/>
      <c r="Z566" s="69"/>
      <c r="AA566" s="69"/>
      <c r="AB566" s="69"/>
    </row>
    <row r="567" spans="1:28">
      <c r="A567" s="67"/>
      <c r="B567" s="67"/>
      <c r="C567" s="68"/>
      <c r="F567" s="69"/>
      <c r="G567" s="69"/>
      <c r="H567" s="69"/>
      <c r="I567" s="69"/>
      <c r="J567" s="69"/>
      <c r="K567" s="69"/>
      <c r="L567" s="69"/>
      <c r="M567" s="69"/>
      <c r="N567" s="69"/>
      <c r="O567" s="69"/>
      <c r="P567" s="69"/>
      <c r="Q567" s="69"/>
      <c r="R567" s="69"/>
      <c r="S567" s="69"/>
      <c r="T567" s="69"/>
      <c r="U567" s="69"/>
      <c r="V567" s="69"/>
      <c r="W567" s="81"/>
      <c r="X567" s="69"/>
      <c r="Y567" s="69"/>
      <c r="Z567" s="69"/>
      <c r="AA567" s="69"/>
      <c r="AB567" s="69"/>
    </row>
    <row r="568" spans="1:28">
      <c r="A568" s="67"/>
      <c r="B568" s="67"/>
      <c r="C568" s="68"/>
      <c r="F568" s="69"/>
      <c r="G568" s="69"/>
      <c r="H568" s="69"/>
      <c r="I568" s="69"/>
      <c r="J568" s="69"/>
      <c r="K568" s="69"/>
      <c r="L568" s="69"/>
      <c r="M568" s="69"/>
      <c r="N568" s="69"/>
      <c r="O568" s="69"/>
      <c r="P568" s="69"/>
      <c r="Q568" s="69"/>
      <c r="R568" s="69"/>
      <c r="S568" s="69"/>
      <c r="T568" s="69"/>
      <c r="U568" s="69"/>
      <c r="V568" s="69"/>
      <c r="W568" s="81"/>
      <c r="X568" s="69"/>
      <c r="Y568" s="69"/>
      <c r="Z568" s="69"/>
      <c r="AA568" s="69"/>
      <c r="AB568" s="69"/>
    </row>
    <row r="569" spans="1:28">
      <c r="A569" s="67"/>
      <c r="B569" s="67"/>
      <c r="C569" s="68"/>
      <c r="F569" s="69"/>
      <c r="G569" s="69"/>
      <c r="H569" s="69"/>
      <c r="I569" s="69"/>
      <c r="J569" s="69"/>
      <c r="K569" s="69"/>
      <c r="L569" s="69"/>
      <c r="M569" s="69"/>
      <c r="N569" s="69"/>
      <c r="O569" s="69"/>
      <c r="P569" s="69"/>
      <c r="Q569" s="69"/>
      <c r="R569" s="69"/>
      <c r="S569" s="69"/>
      <c r="T569" s="69"/>
      <c r="U569" s="69"/>
      <c r="V569" s="69"/>
      <c r="W569" s="81"/>
      <c r="X569" s="69"/>
      <c r="Y569" s="69"/>
      <c r="Z569" s="69"/>
      <c r="AA569" s="69"/>
      <c r="AB569" s="69"/>
    </row>
    <row r="570" spans="1:28">
      <c r="A570" s="67"/>
      <c r="B570" s="67"/>
      <c r="C570" s="68"/>
      <c r="F570" s="69"/>
      <c r="G570" s="69"/>
      <c r="H570" s="69"/>
      <c r="I570" s="69"/>
      <c r="J570" s="69"/>
      <c r="K570" s="69"/>
      <c r="L570" s="69"/>
      <c r="M570" s="69"/>
      <c r="N570" s="69"/>
      <c r="O570" s="69"/>
      <c r="P570" s="69"/>
      <c r="Q570" s="69"/>
      <c r="R570" s="69"/>
      <c r="S570" s="69"/>
      <c r="T570" s="69"/>
      <c r="U570" s="69"/>
      <c r="V570" s="69"/>
      <c r="W570" s="81"/>
      <c r="X570" s="69"/>
      <c r="Y570" s="69"/>
      <c r="Z570" s="69"/>
      <c r="AA570" s="69"/>
      <c r="AB570" s="69"/>
    </row>
    <row r="571" spans="1:28">
      <c r="A571" s="67"/>
      <c r="B571" s="67"/>
      <c r="C571" s="68"/>
      <c r="F571" s="69"/>
      <c r="G571" s="69"/>
      <c r="H571" s="69"/>
      <c r="I571" s="69"/>
      <c r="J571" s="69"/>
      <c r="K571" s="69"/>
      <c r="L571" s="69"/>
      <c r="M571" s="69"/>
      <c r="N571" s="69"/>
      <c r="O571" s="69"/>
      <c r="P571" s="69"/>
      <c r="Q571" s="69"/>
      <c r="R571" s="69"/>
      <c r="S571" s="69"/>
      <c r="T571" s="69"/>
      <c r="U571" s="69"/>
      <c r="V571" s="69"/>
      <c r="W571" s="81"/>
      <c r="X571" s="69"/>
      <c r="Y571" s="69"/>
      <c r="Z571" s="69"/>
      <c r="AA571" s="69"/>
      <c r="AB571" s="69"/>
    </row>
    <row r="572" spans="1:28">
      <c r="A572" s="67"/>
      <c r="B572" s="67"/>
      <c r="C572" s="68"/>
      <c r="F572" s="69"/>
      <c r="G572" s="69"/>
      <c r="H572" s="69"/>
      <c r="I572" s="69"/>
      <c r="J572" s="69"/>
      <c r="K572" s="69"/>
      <c r="L572" s="69"/>
      <c r="M572" s="69"/>
      <c r="N572" s="69"/>
      <c r="O572" s="69"/>
      <c r="P572" s="69"/>
      <c r="Q572" s="69"/>
      <c r="R572" s="69"/>
      <c r="S572" s="69"/>
      <c r="T572" s="69"/>
      <c r="U572" s="69"/>
      <c r="V572" s="69"/>
      <c r="W572" s="81"/>
      <c r="X572" s="69"/>
      <c r="Y572" s="69"/>
      <c r="Z572" s="69"/>
      <c r="AA572" s="69"/>
      <c r="AB572" s="69"/>
    </row>
    <row r="573" spans="1:28">
      <c r="A573" s="67"/>
      <c r="B573" s="67"/>
      <c r="C573" s="68"/>
      <c r="F573" s="69"/>
      <c r="G573" s="69"/>
      <c r="H573" s="69"/>
      <c r="I573" s="69"/>
      <c r="J573" s="69"/>
      <c r="K573" s="69"/>
      <c r="L573" s="69"/>
      <c r="M573" s="69"/>
      <c r="N573" s="69"/>
      <c r="O573" s="69"/>
      <c r="P573" s="69"/>
      <c r="Q573" s="69"/>
      <c r="R573" s="69"/>
      <c r="S573" s="69"/>
      <c r="T573" s="69"/>
      <c r="U573" s="69"/>
      <c r="V573" s="69"/>
      <c r="W573" s="81"/>
      <c r="X573" s="69"/>
      <c r="Y573" s="69"/>
      <c r="Z573" s="69"/>
      <c r="AA573" s="69"/>
      <c r="AB573" s="69"/>
    </row>
    <row r="574" spans="1:28">
      <c r="A574" s="67"/>
      <c r="B574" s="67"/>
      <c r="C574" s="68"/>
      <c r="F574" s="69"/>
      <c r="G574" s="69"/>
      <c r="H574" s="69"/>
      <c r="I574" s="69"/>
      <c r="J574" s="69"/>
      <c r="K574" s="69"/>
      <c r="L574" s="69"/>
      <c r="M574" s="69"/>
      <c r="N574" s="69"/>
      <c r="O574" s="69"/>
      <c r="P574" s="69"/>
      <c r="Q574" s="69"/>
      <c r="R574" s="69"/>
      <c r="S574" s="69"/>
      <c r="T574" s="69"/>
      <c r="U574" s="69"/>
      <c r="V574" s="69"/>
      <c r="W574" s="81"/>
      <c r="X574" s="69"/>
      <c r="Y574" s="69"/>
      <c r="Z574" s="69"/>
      <c r="AA574" s="69"/>
      <c r="AB574" s="69"/>
    </row>
    <row r="575" spans="1:28">
      <c r="A575" s="67"/>
      <c r="B575" s="67"/>
      <c r="C575" s="68"/>
      <c r="F575" s="69"/>
      <c r="G575" s="69"/>
      <c r="H575" s="69"/>
      <c r="I575" s="69"/>
      <c r="J575" s="69"/>
      <c r="K575" s="69"/>
      <c r="L575" s="69"/>
      <c r="M575" s="69"/>
      <c r="N575" s="69"/>
      <c r="O575" s="69"/>
      <c r="P575" s="69"/>
      <c r="Q575" s="69"/>
      <c r="R575" s="69"/>
      <c r="S575" s="69"/>
      <c r="T575" s="69"/>
      <c r="U575" s="69"/>
      <c r="V575" s="69"/>
      <c r="W575" s="81"/>
      <c r="X575" s="69"/>
      <c r="Y575" s="69"/>
      <c r="Z575" s="69"/>
      <c r="AA575" s="69"/>
      <c r="AB575" s="69"/>
    </row>
    <row r="576" spans="1:28">
      <c r="A576" s="67"/>
      <c r="B576" s="67"/>
      <c r="C576" s="68"/>
      <c r="F576" s="69"/>
      <c r="G576" s="69"/>
      <c r="H576" s="69"/>
      <c r="I576" s="69"/>
      <c r="J576" s="69"/>
      <c r="K576" s="69"/>
      <c r="L576" s="69"/>
      <c r="M576" s="69"/>
      <c r="N576" s="69"/>
      <c r="O576" s="69"/>
      <c r="P576" s="69"/>
      <c r="Q576" s="69"/>
      <c r="R576" s="69"/>
      <c r="S576" s="69"/>
      <c r="T576" s="69"/>
      <c r="U576" s="69"/>
      <c r="V576" s="69"/>
      <c r="W576" s="81"/>
      <c r="X576" s="69"/>
      <c r="Y576" s="69"/>
      <c r="Z576" s="69"/>
      <c r="AA576" s="69"/>
      <c r="AB576" s="69"/>
    </row>
    <row r="577" spans="1:28">
      <c r="A577" s="67"/>
      <c r="B577" s="67"/>
      <c r="C577" s="68"/>
      <c r="F577" s="69"/>
      <c r="G577" s="69"/>
      <c r="H577" s="69"/>
      <c r="I577" s="69"/>
      <c r="J577" s="69"/>
      <c r="K577" s="69"/>
      <c r="L577" s="69"/>
      <c r="M577" s="69"/>
      <c r="N577" s="69"/>
      <c r="O577" s="69"/>
      <c r="P577" s="69"/>
      <c r="Q577" s="69"/>
      <c r="R577" s="69"/>
      <c r="S577" s="69"/>
      <c r="T577" s="69"/>
      <c r="U577" s="69"/>
      <c r="V577" s="69"/>
      <c r="W577" s="81"/>
      <c r="X577" s="69"/>
      <c r="Y577" s="69"/>
      <c r="Z577" s="69"/>
      <c r="AA577" s="69"/>
      <c r="AB577" s="69"/>
    </row>
    <row r="578" spans="1:28">
      <c r="A578" s="67"/>
      <c r="B578" s="67"/>
      <c r="C578" s="68"/>
      <c r="F578" s="69"/>
      <c r="G578" s="69"/>
      <c r="H578" s="69"/>
      <c r="I578" s="69"/>
      <c r="J578" s="69"/>
      <c r="K578" s="69"/>
      <c r="L578" s="69"/>
      <c r="M578" s="69"/>
      <c r="N578" s="69"/>
      <c r="O578" s="69"/>
      <c r="P578" s="69"/>
      <c r="Q578" s="69"/>
      <c r="R578" s="69"/>
      <c r="S578" s="69"/>
      <c r="T578" s="69"/>
      <c r="U578" s="69"/>
      <c r="V578" s="69"/>
      <c r="W578" s="81"/>
      <c r="X578" s="69"/>
      <c r="Y578" s="69"/>
      <c r="Z578" s="69"/>
      <c r="AA578" s="69"/>
      <c r="AB578" s="69"/>
    </row>
    <row r="579" spans="1:28">
      <c r="A579" s="67"/>
      <c r="B579" s="67"/>
      <c r="C579" s="68"/>
      <c r="F579" s="69"/>
      <c r="G579" s="69"/>
      <c r="H579" s="69"/>
      <c r="I579" s="69"/>
      <c r="J579" s="69"/>
      <c r="K579" s="69"/>
      <c r="L579" s="69"/>
      <c r="M579" s="69"/>
      <c r="N579" s="69"/>
      <c r="O579" s="69"/>
      <c r="P579" s="69"/>
      <c r="Q579" s="69"/>
      <c r="R579" s="69"/>
      <c r="S579" s="69"/>
      <c r="T579" s="69"/>
      <c r="U579" s="69"/>
      <c r="V579" s="69"/>
      <c r="W579" s="81"/>
      <c r="X579" s="69"/>
      <c r="Y579" s="69"/>
      <c r="Z579" s="69"/>
      <c r="AA579" s="69"/>
      <c r="AB579" s="69"/>
    </row>
    <row r="580" spans="1:28">
      <c r="A580" s="67"/>
      <c r="B580" s="67"/>
      <c r="C580" s="68"/>
      <c r="F580" s="69"/>
      <c r="G580" s="69"/>
      <c r="H580" s="69"/>
      <c r="I580" s="69"/>
      <c r="J580" s="69"/>
      <c r="K580" s="69"/>
      <c r="L580" s="69"/>
      <c r="M580" s="69"/>
      <c r="N580" s="69"/>
      <c r="O580" s="69"/>
      <c r="P580" s="69"/>
      <c r="Q580" s="69"/>
      <c r="R580" s="69"/>
      <c r="S580" s="69"/>
      <c r="T580" s="69"/>
      <c r="U580" s="69"/>
      <c r="V580" s="69"/>
      <c r="W580" s="81"/>
      <c r="X580" s="69"/>
      <c r="Y580" s="69"/>
      <c r="Z580" s="69"/>
      <c r="AA580" s="69"/>
      <c r="AB580" s="69"/>
    </row>
    <row r="581" spans="1:28">
      <c r="A581" s="67"/>
      <c r="B581" s="67"/>
      <c r="C581" s="68"/>
      <c r="F581" s="69"/>
      <c r="G581" s="69"/>
      <c r="H581" s="69"/>
      <c r="I581" s="69"/>
      <c r="J581" s="69"/>
      <c r="K581" s="69"/>
      <c r="L581" s="69"/>
      <c r="M581" s="69"/>
      <c r="N581" s="69"/>
      <c r="O581" s="69"/>
      <c r="P581" s="69"/>
      <c r="Q581" s="69"/>
      <c r="R581" s="69"/>
      <c r="S581" s="69"/>
      <c r="T581" s="69"/>
      <c r="U581" s="69"/>
      <c r="V581" s="69"/>
      <c r="W581" s="81"/>
      <c r="X581" s="69"/>
      <c r="Y581" s="69"/>
      <c r="Z581" s="69"/>
      <c r="AA581" s="69"/>
      <c r="AB581" s="69"/>
    </row>
    <row r="582" spans="1:28">
      <c r="A582" s="67"/>
      <c r="B582" s="67"/>
      <c r="C582" s="68"/>
      <c r="F582" s="69"/>
      <c r="G582" s="69"/>
      <c r="H582" s="69"/>
      <c r="I582" s="69"/>
      <c r="J582" s="69"/>
      <c r="K582" s="69"/>
      <c r="L582" s="69"/>
      <c r="M582" s="69"/>
      <c r="N582" s="69"/>
      <c r="O582" s="69"/>
      <c r="P582" s="69"/>
      <c r="Q582" s="69"/>
      <c r="R582" s="69"/>
      <c r="S582" s="69"/>
      <c r="T582" s="69"/>
      <c r="U582" s="69"/>
      <c r="V582" s="69"/>
      <c r="W582" s="81"/>
      <c r="X582" s="69"/>
      <c r="Y582" s="69"/>
      <c r="Z582" s="69"/>
      <c r="AA582" s="69"/>
      <c r="AB582" s="69"/>
    </row>
    <row r="583" spans="1:28">
      <c r="A583" s="67"/>
      <c r="B583" s="67"/>
      <c r="C583" s="68"/>
      <c r="F583" s="69"/>
      <c r="G583" s="69"/>
      <c r="H583" s="69"/>
      <c r="I583" s="69"/>
      <c r="J583" s="69"/>
      <c r="K583" s="69"/>
      <c r="L583" s="69"/>
      <c r="M583" s="69"/>
      <c r="N583" s="69"/>
      <c r="O583" s="69"/>
      <c r="P583" s="69"/>
      <c r="Q583" s="69"/>
      <c r="R583" s="69"/>
      <c r="S583" s="69"/>
      <c r="T583" s="69"/>
      <c r="U583" s="69"/>
      <c r="V583" s="69"/>
      <c r="W583" s="81"/>
      <c r="X583" s="69"/>
      <c r="Y583" s="69"/>
      <c r="Z583" s="69"/>
      <c r="AA583" s="69"/>
      <c r="AB583" s="69"/>
    </row>
    <row r="584" spans="1:28">
      <c r="A584" s="67"/>
      <c r="B584" s="67"/>
      <c r="C584" s="68"/>
      <c r="F584" s="69"/>
      <c r="G584" s="69"/>
      <c r="H584" s="69"/>
      <c r="I584" s="69"/>
      <c r="J584" s="69"/>
      <c r="K584" s="69"/>
      <c r="L584" s="69"/>
      <c r="M584" s="69"/>
      <c r="N584" s="69"/>
      <c r="O584" s="69"/>
      <c r="P584" s="69"/>
      <c r="Q584" s="69"/>
      <c r="R584" s="69"/>
      <c r="S584" s="69"/>
      <c r="T584" s="69"/>
      <c r="U584" s="69"/>
      <c r="V584" s="69"/>
      <c r="W584" s="81"/>
      <c r="X584" s="69"/>
      <c r="Y584" s="69"/>
      <c r="Z584" s="69"/>
      <c r="AA584" s="69"/>
      <c r="AB584" s="69"/>
    </row>
    <row r="585" spans="1:28">
      <c r="A585" s="67"/>
      <c r="B585" s="67"/>
      <c r="C585" s="68"/>
      <c r="F585" s="69"/>
      <c r="G585" s="69"/>
      <c r="H585" s="69"/>
      <c r="I585" s="69"/>
      <c r="J585" s="69"/>
      <c r="K585" s="69"/>
      <c r="L585" s="69"/>
      <c r="M585" s="69"/>
      <c r="N585" s="69"/>
      <c r="O585" s="69"/>
      <c r="P585" s="69"/>
      <c r="Q585" s="69"/>
      <c r="R585" s="69"/>
      <c r="S585" s="69"/>
      <c r="T585" s="69"/>
      <c r="U585" s="69"/>
      <c r="V585" s="69"/>
      <c r="W585" s="81"/>
      <c r="X585" s="69"/>
      <c r="Y585" s="69"/>
      <c r="Z585" s="69"/>
      <c r="AA585" s="69"/>
      <c r="AB585" s="69"/>
    </row>
    <row r="586" spans="1:28">
      <c r="A586" s="67"/>
      <c r="B586" s="67"/>
      <c r="C586" s="68"/>
      <c r="F586" s="69"/>
      <c r="G586" s="69"/>
      <c r="H586" s="69"/>
      <c r="I586" s="69"/>
      <c r="J586" s="69"/>
      <c r="K586" s="69"/>
      <c r="L586" s="69"/>
      <c r="M586" s="69"/>
      <c r="N586" s="69"/>
      <c r="O586" s="69"/>
      <c r="P586" s="69"/>
      <c r="Q586" s="69"/>
      <c r="R586" s="69"/>
      <c r="S586" s="69"/>
      <c r="T586" s="69"/>
      <c r="U586" s="69"/>
      <c r="V586" s="69"/>
      <c r="W586" s="81"/>
      <c r="X586" s="69"/>
      <c r="Y586" s="69"/>
      <c r="Z586" s="69"/>
      <c r="AA586" s="69"/>
      <c r="AB586" s="69"/>
    </row>
    <row r="587" spans="1:28">
      <c r="A587" s="67"/>
      <c r="B587" s="67"/>
      <c r="C587" s="68"/>
      <c r="F587" s="69"/>
      <c r="G587" s="69"/>
      <c r="H587" s="69"/>
      <c r="I587" s="69"/>
      <c r="J587" s="69"/>
      <c r="K587" s="69"/>
      <c r="L587" s="69"/>
      <c r="M587" s="69"/>
      <c r="N587" s="69"/>
      <c r="O587" s="69"/>
      <c r="P587" s="69"/>
      <c r="Q587" s="69"/>
      <c r="R587" s="69"/>
      <c r="S587" s="69"/>
      <c r="T587" s="69"/>
      <c r="U587" s="69"/>
      <c r="V587" s="69"/>
      <c r="W587" s="81"/>
      <c r="X587" s="69"/>
      <c r="Y587" s="69"/>
      <c r="Z587" s="69"/>
      <c r="AA587" s="69"/>
      <c r="AB587" s="69"/>
    </row>
    <row r="588" spans="1:28">
      <c r="A588" s="67"/>
      <c r="B588" s="67"/>
      <c r="C588" s="68"/>
      <c r="F588" s="69"/>
      <c r="G588" s="69"/>
      <c r="H588" s="69"/>
      <c r="I588" s="69"/>
      <c r="J588" s="69"/>
      <c r="K588" s="69"/>
      <c r="L588" s="69"/>
      <c r="M588" s="69"/>
      <c r="N588" s="69"/>
      <c r="O588" s="69"/>
      <c r="P588" s="69"/>
      <c r="Q588" s="69"/>
      <c r="R588" s="69"/>
      <c r="S588" s="69"/>
      <c r="T588" s="69"/>
      <c r="U588" s="69"/>
      <c r="V588" s="69"/>
      <c r="W588" s="81"/>
      <c r="X588" s="69"/>
      <c r="Y588" s="69"/>
      <c r="Z588" s="69"/>
      <c r="AA588" s="69"/>
      <c r="AB588" s="69"/>
    </row>
    <row r="589" spans="1:28">
      <c r="A589" s="67"/>
      <c r="B589" s="67"/>
      <c r="C589" s="68"/>
      <c r="F589" s="69"/>
      <c r="G589" s="69"/>
      <c r="H589" s="69"/>
      <c r="I589" s="69"/>
      <c r="J589" s="69"/>
      <c r="K589" s="69"/>
      <c r="L589" s="69"/>
      <c r="M589" s="69"/>
      <c r="N589" s="69"/>
      <c r="O589" s="69"/>
      <c r="P589" s="69"/>
      <c r="Q589" s="69"/>
      <c r="R589" s="69"/>
      <c r="S589" s="69"/>
      <c r="T589" s="69"/>
      <c r="U589" s="69"/>
      <c r="V589" s="69"/>
      <c r="W589" s="81"/>
      <c r="X589" s="69"/>
      <c r="Y589" s="69"/>
      <c r="Z589" s="69"/>
      <c r="AA589" s="69"/>
      <c r="AB589" s="69"/>
    </row>
    <row r="590" spans="1:28">
      <c r="A590" s="67"/>
      <c r="B590" s="67"/>
      <c r="C590" s="68"/>
      <c r="F590" s="69"/>
      <c r="G590" s="69"/>
      <c r="H590" s="69"/>
      <c r="I590" s="69"/>
      <c r="J590" s="69"/>
      <c r="K590" s="69"/>
      <c r="L590" s="69"/>
      <c r="M590" s="69"/>
      <c r="N590" s="69"/>
      <c r="O590" s="69"/>
      <c r="P590" s="69"/>
      <c r="Q590" s="69"/>
      <c r="R590" s="69"/>
      <c r="S590" s="69"/>
      <c r="T590" s="69"/>
      <c r="U590" s="69"/>
      <c r="V590" s="69"/>
      <c r="W590" s="81"/>
      <c r="X590" s="69"/>
      <c r="Y590" s="69"/>
      <c r="Z590" s="69"/>
      <c r="AA590" s="69"/>
      <c r="AB590" s="69"/>
    </row>
    <row r="591" spans="1:28">
      <c r="A591" s="67"/>
      <c r="B591" s="67"/>
      <c r="C591" s="68"/>
      <c r="F591" s="69"/>
      <c r="G591" s="69"/>
      <c r="H591" s="69"/>
      <c r="I591" s="69"/>
      <c r="J591" s="69"/>
      <c r="K591" s="69"/>
      <c r="L591" s="69"/>
      <c r="M591" s="69"/>
      <c r="N591" s="69"/>
      <c r="O591" s="69"/>
      <c r="P591" s="69"/>
      <c r="Q591" s="69"/>
      <c r="R591" s="69"/>
      <c r="S591" s="69"/>
      <c r="T591" s="69"/>
      <c r="U591" s="69"/>
      <c r="V591" s="69"/>
      <c r="W591" s="81"/>
      <c r="X591" s="69"/>
      <c r="Y591" s="69"/>
      <c r="Z591" s="69"/>
      <c r="AA591" s="69"/>
      <c r="AB591" s="69"/>
    </row>
    <row r="592" spans="1:28">
      <c r="A592" s="67"/>
      <c r="B592" s="67"/>
      <c r="C592" s="68"/>
      <c r="F592" s="69"/>
      <c r="G592" s="69"/>
      <c r="H592" s="69"/>
      <c r="I592" s="69"/>
      <c r="J592" s="69"/>
      <c r="K592" s="69"/>
      <c r="L592" s="69"/>
      <c r="M592" s="69"/>
      <c r="N592" s="69"/>
      <c r="O592" s="69"/>
      <c r="P592" s="69"/>
      <c r="Q592" s="69"/>
      <c r="R592" s="69"/>
      <c r="S592" s="69"/>
      <c r="T592" s="69"/>
      <c r="U592" s="69"/>
      <c r="V592" s="69"/>
      <c r="W592" s="81"/>
      <c r="X592" s="69"/>
      <c r="Y592" s="69"/>
      <c r="Z592" s="69"/>
      <c r="AA592" s="69"/>
      <c r="AB592" s="69"/>
    </row>
    <row r="593" spans="1:28">
      <c r="A593" s="67"/>
      <c r="B593" s="67"/>
      <c r="C593" s="68"/>
      <c r="F593" s="69"/>
      <c r="G593" s="69"/>
      <c r="H593" s="69"/>
      <c r="I593" s="69"/>
      <c r="J593" s="69"/>
      <c r="K593" s="69"/>
      <c r="L593" s="69"/>
      <c r="M593" s="69"/>
      <c r="N593" s="69"/>
      <c r="O593" s="69"/>
      <c r="P593" s="69"/>
      <c r="Q593" s="69"/>
      <c r="R593" s="69"/>
      <c r="S593" s="69"/>
      <c r="T593" s="69"/>
      <c r="U593" s="69"/>
      <c r="V593" s="69"/>
      <c r="W593" s="81"/>
      <c r="X593" s="69"/>
      <c r="Y593" s="69"/>
      <c r="Z593" s="69"/>
      <c r="AA593" s="69"/>
      <c r="AB593" s="69"/>
    </row>
    <row r="594" spans="1:28">
      <c r="A594" s="67"/>
      <c r="B594" s="67"/>
      <c r="C594" s="68"/>
      <c r="F594" s="69"/>
      <c r="G594" s="69"/>
      <c r="H594" s="69"/>
      <c r="I594" s="69"/>
      <c r="J594" s="69"/>
      <c r="K594" s="69"/>
      <c r="L594" s="69"/>
      <c r="M594" s="69"/>
      <c r="N594" s="69"/>
      <c r="O594" s="69"/>
      <c r="P594" s="69"/>
      <c r="Q594" s="69"/>
      <c r="R594" s="69"/>
      <c r="S594" s="69"/>
      <c r="T594" s="69"/>
      <c r="U594" s="69"/>
      <c r="V594" s="69"/>
      <c r="W594" s="81"/>
      <c r="X594" s="69"/>
      <c r="Y594" s="69"/>
      <c r="Z594" s="69"/>
      <c r="AA594" s="69"/>
      <c r="AB594" s="69"/>
    </row>
    <row r="595" spans="1:28">
      <c r="A595" s="67"/>
      <c r="B595" s="67"/>
      <c r="C595" s="68"/>
      <c r="F595" s="69"/>
      <c r="G595" s="69"/>
      <c r="H595" s="69"/>
      <c r="I595" s="69"/>
      <c r="J595" s="69"/>
      <c r="K595" s="69"/>
      <c r="L595" s="69"/>
      <c r="M595" s="69"/>
      <c r="N595" s="69"/>
      <c r="O595" s="69"/>
      <c r="P595" s="69"/>
      <c r="Q595" s="69"/>
      <c r="R595" s="69"/>
      <c r="S595" s="69"/>
      <c r="T595" s="69"/>
      <c r="U595" s="69"/>
      <c r="V595" s="69"/>
      <c r="W595" s="81"/>
      <c r="X595" s="69"/>
      <c r="Y595" s="69"/>
      <c r="Z595" s="69"/>
      <c r="AA595" s="69"/>
      <c r="AB595" s="69"/>
    </row>
    <row r="596" spans="1:28">
      <c r="A596" s="67"/>
      <c r="B596" s="67"/>
      <c r="C596" s="68"/>
      <c r="F596" s="69"/>
      <c r="G596" s="69"/>
      <c r="H596" s="69"/>
      <c r="I596" s="69"/>
      <c r="J596" s="69"/>
      <c r="K596" s="69"/>
      <c r="L596" s="69"/>
      <c r="M596" s="69"/>
      <c r="N596" s="69"/>
      <c r="O596" s="69"/>
      <c r="P596" s="69"/>
      <c r="Q596" s="69"/>
      <c r="R596" s="69"/>
      <c r="S596" s="69"/>
      <c r="T596" s="69"/>
      <c r="U596" s="69"/>
      <c r="V596" s="69"/>
      <c r="W596" s="81"/>
      <c r="X596" s="69"/>
      <c r="Y596" s="69"/>
      <c r="Z596" s="69"/>
      <c r="AA596" s="69"/>
      <c r="AB596" s="69"/>
    </row>
    <row r="597" spans="1:28">
      <c r="A597" s="67"/>
      <c r="B597" s="67"/>
      <c r="C597" s="68"/>
      <c r="F597" s="69"/>
      <c r="G597" s="69"/>
      <c r="H597" s="69"/>
      <c r="I597" s="69"/>
      <c r="J597" s="69"/>
      <c r="K597" s="69"/>
      <c r="L597" s="69"/>
      <c r="M597" s="69"/>
      <c r="N597" s="69"/>
      <c r="O597" s="69"/>
      <c r="P597" s="69"/>
      <c r="Q597" s="69"/>
      <c r="R597" s="69"/>
      <c r="S597" s="69"/>
      <c r="T597" s="69"/>
      <c r="U597" s="69"/>
      <c r="V597" s="69"/>
      <c r="W597" s="81"/>
      <c r="X597" s="69"/>
      <c r="Y597" s="69"/>
      <c r="Z597" s="69"/>
      <c r="AA597" s="69"/>
      <c r="AB597" s="69"/>
    </row>
    <row r="598" spans="1:28">
      <c r="A598" s="67"/>
      <c r="B598" s="67"/>
      <c r="C598" s="68"/>
      <c r="F598" s="69"/>
      <c r="G598" s="69"/>
      <c r="H598" s="69"/>
      <c r="I598" s="69"/>
      <c r="J598" s="69"/>
      <c r="K598" s="69"/>
      <c r="L598" s="69"/>
      <c r="M598" s="69"/>
      <c r="N598" s="69"/>
      <c r="O598" s="69"/>
      <c r="P598" s="69"/>
      <c r="Q598" s="69"/>
      <c r="R598" s="69"/>
      <c r="S598" s="69"/>
      <c r="T598" s="69"/>
      <c r="U598" s="69"/>
      <c r="V598" s="69"/>
      <c r="W598" s="81"/>
      <c r="X598" s="69"/>
      <c r="Y598" s="69"/>
      <c r="Z598" s="69"/>
      <c r="AA598" s="69"/>
      <c r="AB598" s="69"/>
    </row>
    <row r="599" spans="1:28">
      <c r="A599" s="67"/>
      <c r="B599" s="67"/>
      <c r="C599" s="68"/>
      <c r="F599" s="69"/>
      <c r="G599" s="69"/>
      <c r="H599" s="69"/>
      <c r="I599" s="69"/>
      <c r="J599" s="69"/>
      <c r="K599" s="69"/>
      <c r="L599" s="69"/>
      <c r="M599" s="69"/>
      <c r="N599" s="69"/>
      <c r="O599" s="69"/>
      <c r="P599" s="69"/>
      <c r="Q599" s="69"/>
      <c r="R599" s="69"/>
      <c r="S599" s="69"/>
      <c r="T599" s="69"/>
      <c r="U599" s="69"/>
      <c r="V599" s="69"/>
      <c r="W599" s="81"/>
      <c r="X599" s="69"/>
      <c r="Y599" s="69"/>
      <c r="Z599" s="69"/>
      <c r="AA599" s="69"/>
      <c r="AB599" s="69"/>
    </row>
    <row r="600" spans="1:28">
      <c r="A600" s="67"/>
      <c r="B600" s="67"/>
      <c r="C600" s="68"/>
      <c r="F600" s="69"/>
      <c r="G600" s="69"/>
      <c r="H600" s="69"/>
      <c r="I600" s="69"/>
      <c r="J600" s="69"/>
      <c r="K600" s="69"/>
      <c r="L600" s="69"/>
      <c r="M600" s="69"/>
      <c r="N600" s="69"/>
      <c r="O600" s="69"/>
      <c r="P600" s="69"/>
      <c r="Q600" s="69"/>
      <c r="R600" s="69"/>
      <c r="S600" s="69"/>
      <c r="T600" s="69"/>
      <c r="U600" s="69"/>
      <c r="V600" s="69"/>
      <c r="W600" s="81"/>
      <c r="X600" s="69"/>
      <c r="Y600" s="69"/>
      <c r="Z600" s="69"/>
      <c r="AA600" s="69"/>
      <c r="AB600" s="69"/>
    </row>
    <row r="601" spans="1:28">
      <c r="A601" s="67"/>
      <c r="B601" s="67"/>
      <c r="C601" s="68"/>
      <c r="F601" s="69"/>
      <c r="G601" s="69"/>
      <c r="H601" s="69"/>
      <c r="I601" s="69"/>
      <c r="J601" s="69"/>
      <c r="K601" s="69"/>
      <c r="L601" s="69"/>
      <c r="M601" s="69"/>
      <c r="N601" s="69"/>
      <c r="O601" s="69"/>
      <c r="P601" s="69"/>
      <c r="Q601" s="69"/>
      <c r="R601" s="69"/>
      <c r="S601" s="69"/>
      <c r="T601" s="69"/>
      <c r="U601" s="69"/>
      <c r="V601" s="69"/>
      <c r="W601" s="81"/>
      <c r="X601" s="69"/>
      <c r="Y601" s="69"/>
      <c r="Z601" s="69"/>
      <c r="AA601" s="69"/>
      <c r="AB601" s="69"/>
    </row>
    <row r="602" spans="1:28">
      <c r="A602" s="67"/>
      <c r="B602" s="67"/>
      <c r="C602" s="68"/>
      <c r="F602" s="69"/>
      <c r="G602" s="69"/>
      <c r="H602" s="69"/>
      <c r="I602" s="69"/>
      <c r="J602" s="69"/>
      <c r="K602" s="69"/>
      <c r="L602" s="69"/>
      <c r="M602" s="69"/>
      <c r="N602" s="69"/>
      <c r="O602" s="69"/>
      <c r="P602" s="69"/>
      <c r="Q602" s="69"/>
      <c r="R602" s="69"/>
      <c r="S602" s="69"/>
      <c r="T602" s="69"/>
      <c r="U602" s="69"/>
      <c r="V602" s="69"/>
      <c r="W602" s="81"/>
      <c r="X602" s="69"/>
      <c r="Y602" s="69"/>
      <c r="Z602" s="69"/>
      <c r="AA602" s="69"/>
      <c r="AB602" s="69"/>
    </row>
    <row r="603" spans="1:28">
      <c r="A603" s="67"/>
      <c r="B603" s="67"/>
      <c r="C603" s="68"/>
      <c r="F603" s="69"/>
      <c r="G603" s="69"/>
      <c r="H603" s="69"/>
      <c r="I603" s="69"/>
      <c r="J603" s="69"/>
      <c r="K603" s="69"/>
      <c r="L603" s="69"/>
      <c r="M603" s="69"/>
      <c r="N603" s="69"/>
      <c r="O603" s="69"/>
      <c r="P603" s="69"/>
      <c r="Q603" s="69"/>
      <c r="R603" s="69"/>
      <c r="S603" s="69"/>
      <c r="T603" s="69"/>
      <c r="U603" s="69"/>
      <c r="V603" s="69"/>
      <c r="W603" s="81"/>
      <c r="X603" s="69"/>
      <c r="Y603" s="69"/>
      <c r="Z603" s="69"/>
      <c r="AA603" s="69"/>
      <c r="AB603" s="69"/>
    </row>
    <row r="604" spans="1:28">
      <c r="A604" s="67"/>
      <c r="B604" s="67"/>
      <c r="C604" s="68"/>
      <c r="F604" s="69"/>
      <c r="G604" s="69"/>
      <c r="H604" s="69"/>
      <c r="I604" s="69"/>
      <c r="J604" s="69"/>
      <c r="K604" s="69"/>
      <c r="L604" s="69"/>
      <c r="M604" s="69"/>
      <c r="N604" s="69"/>
      <c r="O604" s="69"/>
      <c r="P604" s="69"/>
      <c r="Q604" s="69"/>
      <c r="R604" s="69"/>
      <c r="S604" s="69"/>
      <c r="T604" s="69"/>
      <c r="U604" s="69"/>
      <c r="V604" s="69"/>
      <c r="W604" s="81"/>
      <c r="X604" s="69"/>
      <c r="Y604" s="69"/>
      <c r="Z604" s="69"/>
      <c r="AA604" s="69"/>
      <c r="AB604" s="69"/>
    </row>
    <row r="605" spans="1:28">
      <c r="A605" s="67"/>
      <c r="B605" s="67"/>
      <c r="C605" s="68"/>
      <c r="F605" s="69"/>
      <c r="G605" s="69"/>
      <c r="H605" s="69"/>
      <c r="I605" s="69"/>
      <c r="J605" s="69"/>
      <c r="K605" s="69"/>
      <c r="L605" s="69"/>
      <c r="M605" s="69"/>
      <c r="N605" s="69"/>
      <c r="O605" s="69"/>
      <c r="P605" s="69"/>
      <c r="Q605" s="69"/>
      <c r="R605" s="69"/>
      <c r="S605" s="69"/>
      <c r="T605" s="69"/>
      <c r="U605" s="69"/>
      <c r="V605" s="69"/>
      <c r="W605" s="81"/>
      <c r="X605" s="69"/>
      <c r="Y605" s="69"/>
      <c r="Z605" s="69"/>
      <c r="AA605" s="69"/>
      <c r="AB605" s="69"/>
    </row>
    <row r="606" spans="1:28">
      <c r="A606" s="67"/>
      <c r="B606" s="67"/>
      <c r="C606" s="68"/>
      <c r="F606" s="69"/>
      <c r="G606" s="69"/>
      <c r="H606" s="69"/>
      <c r="I606" s="69"/>
      <c r="J606" s="69"/>
      <c r="K606" s="69"/>
      <c r="L606" s="69"/>
      <c r="M606" s="69"/>
      <c r="N606" s="69"/>
      <c r="O606" s="69"/>
      <c r="P606" s="69"/>
      <c r="Q606" s="69"/>
      <c r="R606" s="69"/>
      <c r="S606" s="69"/>
      <c r="T606" s="69"/>
      <c r="U606" s="69"/>
      <c r="V606" s="69"/>
      <c r="W606" s="81"/>
      <c r="X606" s="69"/>
      <c r="Y606" s="69"/>
      <c r="Z606" s="69"/>
      <c r="AA606" s="69"/>
      <c r="AB606" s="69"/>
    </row>
    <row r="607" spans="1:28">
      <c r="A607" s="67"/>
      <c r="B607" s="67"/>
      <c r="C607" s="68"/>
      <c r="F607" s="69"/>
      <c r="G607" s="69"/>
      <c r="H607" s="69"/>
      <c r="I607" s="69"/>
      <c r="J607" s="69"/>
      <c r="K607" s="69"/>
      <c r="L607" s="69"/>
      <c r="M607" s="69"/>
      <c r="N607" s="69"/>
      <c r="O607" s="69"/>
      <c r="P607" s="69"/>
      <c r="Q607" s="69"/>
      <c r="R607" s="69"/>
      <c r="S607" s="69"/>
      <c r="T607" s="69"/>
      <c r="U607" s="69"/>
      <c r="V607" s="69"/>
      <c r="W607" s="81"/>
      <c r="X607" s="69"/>
      <c r="Y607" s="69"/>
      <c r="Z607" s="69"/>
      <c r="AA607" s="69"/>
      <c r="AB607" s="69"/>
    </row>
    <row r="608" spans="1:28">
      <c r="A608" s="67"/>
      <c r="B608" s="67"/>
      <c r="C608" s="68"/>
      <c r="F608" s="69"/>
      <c r="G608" s="69"/>
      <c r="H608" s="69"/>
      <c r="I608" s="69"/>
      <c r="J608" s="69"/>
      <c r="K608" s="69"/>
      <c r="L608" s="69"/>
      <c r="M608" s="69"/>
      <c r="N608" s="69"/>
      <c r="O608" s="69"/>
      <c r="P608" s="69"/>
      <c r="Q608" s="69"/>
      <c r="R608" s="69"/>
      <c r="S608" s="69"/>
      <c r="T608" s="69"/>
      <c r="U608" s="69"/>
      <c r="V608" s="69"/>
      <c r="W608" s="81"/>
      <c r="X608" s="69"/>
      <c r="Y608" s="69"/>
      <c r="Z608" s="69"/>
      <c r="AA608" s="69"/>
      <c r="AB608" s="69"/>
    </row>
    <row r="609" spans="1:28">
      <c r="A609" s="67"/>
      <c r="B609" s="67"/>
      <c r="C609" s="68"/>
      <c r="F609" s="69"/>
      <c r="G609" s="69"/>
      <c r="H609" s="69"/>
      <c r="I609" s="69"/>
      <c r="J609" s="69"/>
      <c r="K609" s="69"/>
      <c r="L609" s="69"/>
      <c r="M609" s="69"/>
      <c r="N609" s="69"/>
      <c r="O609" s="69"/>
      <c r="P609" s="69"/>
      <c r="Q609" s="69"/>
      <c r="R609" s="69"/>
      <c r="S609" s="69"/>
      <c r="T609" s="69"/>
      <c r="U609" s="69"/>
      <c r="V609" s="69"/>
      <c r="W609" s="81"/>
      <c r="X609" s="69"/>
      <c r="Y609" s="69"/>
      <c r="Z609" s="69"/>
      <c r="AA609" s="69"/>
      <c r="AB609" s="69"/>
    </row>
    <row r="610" spans="1:28">
      <c r="A610" s="67"/>
      <c r="B610" s="67"/>
      <c r="C610" s="68"/>
      <c r="F610" s="69"/>
      <c r="G610" s="69"/>
      <c r="H610" s="69"/>
      <c r="I610" s="69"/>
      <c r="J610" s="69"/>
      <c r="K610" s="69"/>
      <c r="L610" s="69"/>
      <c r="M610" s="69"/>
      <c r="N610" s="69"/>
      <c r="O610" s="69"/>
      <c r="P610" s="69"/>
      <c r="Q610" s="69"/>
      <c r="R610" s="69"/>
      <c r="S610" s="69"/>
      <c r="T610" s="69"/>
      <c r="U610" s="69"/>
      <c r="V610" s="69"/>
      <c r="W610" s="81"/>
      <c r="X610" s="69"/>
      <c r="Y610" s="69"/>
      <c r="Z610" s="69"/>
      <c r="AA610" s="69"/>
      <c r="AB610" s="69"/>
    </row>
    <row r="611" spans="1:28">
      <c r="A611" s="67"/>
      <c r="B611" s="67"/>
      <c r="C611" s="68"/>
      <c r="F611" s="69"/>
      <c r="G611" s="69"/>
      <c r="H611" s="69"/>
      <c r="I611" s="69"/>
      <c r="J611" s="69"/>
      <c r="K611" s="69"/>
      <c r="L611" s="69"/>
      <c r="M611" s="69"/>
      <c r="N611" s="69"/>
      <c r="O611" s="69"/>
      <c r="P611" s="69"/>
      <c r="Q611" s="69"/>
      <c r="R611" s="69"/>
      <c r="S611" s="69"/>
      <c r="T611" s="69"/>
      <c r="U611" s="69"/>
      <c r="V611" s="69"/>
      <c r="W611" s="81"/>
      <c r="X611" s="69"/>
      <c r="Y611" s="69"/>
      <c r="Z611" s="69"/>
      <c r="AA611" s="69"/>
      <c r="AB611" s="69"/>
    </row>
    <row r="612" spans="1:28">
      <c r="A612" s="67"/>
      <c r="B612" s="67"/>
      <c r="C612" s="68"/>
      <c r="F612" s="69"/>
      <c r="G612" s="69"/>
      <c r="H612" s="69"/>
      <c r="I612" s="69"/>
      <c r="J612" s="69"/>
      <c r="K612" s="69"/>
      <c r="L612" s="69"/>
      <c r="M612" s="69"/>
      <c r="N612" s="69"/>
      <c r="O612" s="69"/>
      <c r="P612" s="69"/>
      <c r="Q612" s="69"/>
      <c r="R612" s="69"/>
      <c r="S612" s="69"/>
      <c r="T612" s="69"/>
      <c r="U612" s="69"/>
      <c r="V612" s="69"/>
      <c r="W612" s="81"/>
      <c r="X612" s="69"/>
      <c r="Y612" s="69"/>
      <c r="Z612" s="69"/>
      <c r="AA612" s="69"/>
      <c r="AB612" s="69"/>
    </row>
    <row r="613" spans="1:28">
      <c r="A613" s="67"/>
      <c r="B613" s="67"/>
      <c r="C613" s="68"/>
      <c r="F613" s="69"/>
      <c r="G613" s="69"/>
      <c r="H613" s="69"/>
      <c r="I613" s="69"/>
      <c r="J613" s="69"/>
      <c r="K613" s="69"/>
      <c r="L613" s="69"/>
      <c r="M613" s="69"/>
      <c r="N613" s="69"/>
      <c r="O613" s="69"/>
      <c r="P613" s="69"/>
      <c r="Q613" s="69"/>
      <c r="R613" s="69"/>
      <c r="S613" s="69"/>
      <c r="T613" s="69"/>
      <c r="U613" s="69"/>
      <c r="V613" s="69"/>
      <c r="W613" s="81"/>
      <c r="X613" s="69"/>
      <c r="Y613" s="69"/>
      <c r="Z613" s="69"/>
      <c r="AA613" s="69"/>
      <c r="AB613" s="69"/>
    </row>
    <row r="614" spans="1:28">
      <c r="A614" s="67"/>
      <c r="B614" s="67"/>
      <c r="C614" s="68"/>
      <c r="F614" s="69"/>
      <c r="G614" s="69"/>
      <c r="H614" s="69"/>
      <c r="I614" s="69"/>
      <c r="J614" s="69"/>
      <c r="K614" s="69"/>
      <c r="L614" s="69"/>
      <c r="M614" s="69"/>
      <c r="N614" s="69"/>
      <c r="O614" s="69"/>
      <c r="P614" s="69"/>
      <c r="Q614" s="69"/>
      <c r="R614" s="69"/>
      <c r="S614" s="69"/>
      <c r="T614" s="69"/>
      <c r="U614" s="69"/>
      <c r="V614" s="69"/>
      <c r="W614" s="81"/>
      <c r="X614" s="69"/>
      <c r="Y614" s="69"/>
      <c r="Z614" s="69"/>
      <c r="AA614" s="69"/>
      <c r="AB614" s="69"/>
    </row>
    <row r="615" spans="1:28">
      <c r="A615" s="67"/>
      <c r="B615" s="67"/>
      <c r="C615" s="68"/>
      <c r="F615" s="69"/>
      <c r="G615" s="69"/>
      <c r="H615" s="69"/>
      <c r="I615" s="69"/>
      <c r="J615" s="69"/>
      <c r="K615" s="69"/>
      <c r="L615" s="69"/>
      <c r="M615" s="69"/>
      <c r="N615" s="69"/>
      <c r="O615" s="69"/>
      <c r="P615" s="69"/>
      <c r="Q615" s="69"/>
      <c r="R615" s="69"/>
      <c r="S615" s="69"/>
      <c r="T615" s="69"/>
      <c r="U615" s="69"/>
      <c r="V615" s="69"/>
      <c r="W615" s="81"/>
      <c r="X615" s="69"/>
      <c r="Y615" s="69"/>
      <c r="Z615" s="69"/>
      <c r="AA615" s="69"/>
      <c r="AB615" s="69"/>
    </row>
    <row r="616" spans="1:28">
      <c r="A616" s="67"/>
      <c r="B616" s="67"/>
      <c r="C616" s="68"/>
      <c r="F616" s="69"/>
      <c r="G616" s="69"/>
      <c r="H616" s="69"/>
      <c r="I616" s="69"/>
      <c r="J616" s="69"/>
      <c r="K616" s="69"/>
      <c r="L616" s="69"/>
      <c r="M616" s="69"/>
      <c r="N616" s="69"/>
      <c r="O616" s="69"/>
      <c r="P616" s="69"/>
      <c r="Q616" s="69"/>
      <c r="R616" s="69"/>
      <c r="S616" s="69"/>
      <c r="T616" s="69"/>
      <c r="U616" s="69"/>
      <c r="V616" s="69"/>
      <c r="W616" s="81"/>
      <c r="X616" s="69"/>
      <c r="Y616" s="69"/>
      <c r="Z616" s="69"/>
      <c r="AA616" s="69"/>
      <c r="AB616" s="69"/>
    </row>
    <row r="617" spans="1:28">
      <c r="A617" s="67"/>
      <c r="B617" s="67"/>
      <c r="C617" s="68"/>
      <c r="F617" s="69"/>
      <c r="G617" s="69"/>
      <c r="H617" s="69"/>
      <c r="I617" s="69"/>
      <c r="J617" s="69"/>
      <c r="K617" s="69"/>
      <c r="L617" s="69"/>
      <c r="M617" s="69"/>
      <c r="N617" s="69"/>
      <c r="O617" s="69"/>
      <c r="P617" s="69"/>
      <c r="Q617" s="69"/>
      <c r="R617" s="69"/>
      <c r="S617" s="69"/>
      <c r="T617" s="69"/>
      <c r="U617" s="69"/>
      <c r="V617" s="69"/>
      <c r="W617" s="81"/>
      <c r="X617" s="69"/>
      <c r="Y617" s="69"/>
      <c r="Z617" s="69"/>
      <c r="AA617" s="69"/>
      <c r="AB617" s="69"/>
    </row>
    <row r="618" spans="1:28">
      <c r="A618" s="67"/>
      <c r="B618" s="67"/>
      <c r="C618" s="68"/>
      <c r="F618" s="69"/>
      <c r="G618" s="69"/>
      <c r="H618" s="69"/>
      <c r="I618" s="69"/>
      <c r="J618" s="69"/>
      <c r="K618" s="69"/>
      <c r="L618" s="69"/>
      <c r="M618" s="69"/>
      <c r="N618" s="69"/>
      <c r="O618" s="69"/>
      <c r="P618" s="69"/>
      <c r="Q618" s="69"/>
      <c r="R618" s="69"/>
      <c r="S618" s="69"/>
      <c r="T618" s="69"/>
      <c r="U618" s="69"/>
      <c r="V618" s="69"/>
      <c r="W618" s="81"/>
      <c r="X618" s="69"/>
      <c r="Y618" s="69"/>
      <c r="Z618" s="69"/>
      <c r="AA618" s="69"/>
      <c r="AB618" s="69"/>
    </row>
    <row r="619" spans="1:28">
      <c r="A619" s="67"/>
      <c r="B619" s="67"/>
      <c r="C619" s="68"/>
      <c r="F619" s="69"/>
      <c r="G619" s="69"/>
      <c r="H619" s="69"/>
      <c r="I619" s="69"/>
      <c r="J619" s="69"/>
      <c r="K619" s="69"/>
      <c r="L619" s="69"/>
      <c r="M619" s="69"/>
      <c r="N619" s="69"/>
      <c r="O619" s="69"/>
      <c r="P619" s="69"/>
      <c r="Q619" s="69"/>
      <c r="R619" s="69"/>
      <c r="S619" s="69"/>
      <c r="T619" s="69"/>
      <c r="U619" s="69"/>
      <c r="V619" s="69"/>
      <c r="W619" s="81"/>
      <c r="X619" s="69"/>
      <c r="Y619" s="69"/>
      <c r="Z619" s="69"/>
      <c r="AA619" s="69"/>
      <c r="AB619" s="69"/>
    </row>
    <row r="620" spans="1:28">
      <c r="A620" s="67"/>
      <c r="B620" s="67"/>
      <c r="C620" s="68"/>
      <c r="F620" s="69"/>
      <c r="G620" s="69"/>
      <c r="H620" s="69"/>
      <c r="I620" s="69"/>
      <c r="J620" s="69"/>
      <c r="K620" s="69"/>
      <c r="L620" s="69"/>
      <c r="M620" s="69"/>
      <c r="N620" s="69"/>
      <c r="O620" s="69"/>
      <c r="P620" s="69"/>
      <c r="Q620" s="69"/>
      <c r="R620" s="69"/>
      <c r="S620" s="69"/>
      <c r="T620" s="69"/>
      <c r="U620" s="69"/>
      <c r="V620" s="69"/>
      <c r="W620" s="81"/>
      <c r="X620" s="69"/>
      <c r="Y620" s="69"/>
      <c r="Z620" s="69"/>
      <c r="AA620" s="69"/>
      <c r="AB620" s="69"/>
    </row>
    <row r="621" spans="1:28">
      <c r="A621" s="67"/>
      <c r="B621" s="67"/>
      <c r="C621" s="68"/>
      <c r="F621" s="69"/>
      <c r="G621" s="69"/>
      <c r="H621" s="69"/>
      <c r="I621" s="69"/>
      <c r="J621" s="69"/>
      <c r="K621" s="69"/>
      <c r="L621" s="69"/>
      <c r="M621" s="69"/>
      <c r="N621" s="69"/>
      <c r="O621" s="69"/>
      <c r="P621" s="69"/>
      <c r="Q621" s="69"/>
      <c r="R621" s="69"/>
      <c r="S621" s="69"/>
      <c r="T621" s="69"/>
      <c r="U621" s="69"/>
      <c r="V621" s="69"/>
      <c r="W621" s="81"/>
      <c r="X621" s="69"/>
      <c r="Y621" s="69"/>
      <c r="Z621" s="69"/>
      <c r="AA621" s="69"/>
      <c r="AB621" s="69"/>
    </row>
    <row r="622" spans="1:28">
      <c r="A622" s="67"/>
      <c r="B622" s="67"/>
      <c r="C622" s="68"/>
      <c r="F622" s="69"/>
      <c r="G622" s="69"/>
      <c r="H622" s="69"/>
      <c r="I622" s="69"/>
      <c r="J622" s="69"/>
      <c r="K622" s="69"/>
      <c r="L622" s="69"/>
      <c r="M622" s="69"/>
      <c r="N622" s="69"/>
      <c r="O622" s="69"/>
      <c r="P622" s="69"/>
      <c r="Q622" s="69"/>
      <c r="R622" s="69"/>
      <c r="S622" s="69"/>
      <c r="T622" s="69"/>
      <c r="U622" s="69"/>
      <c r="V622" s="69"/>
      <c r="W622" s="81"/>
      <c r="X622" s="69"/>
      <c r="Y622" s="69"/>
      <c r="Z622" s="69"/>
      <c r="AA622" s="69"/>
      <c r="AB622" s="69"/>
    </row>
    <row r="623" spans="1:28">
      <c r="A623" s="67"/>
      <c r="B623" s="67"/>
      <c r="C623" s="68"/>
      <c r="F623" s="69"/>
      <c r="G623" s="69"/>
      <c r="H623" s="69"/>
      <c r="I623" s="69"/>
      <c r="J623" s="69"/>
      <c r="K623" s="69"/>
      <c r="L623" s="69"/>
      <c r="M623" s="69"/>
      <c r="N623" s="69"/>
      <c r="O623" s="69"/>
      <c r="P623" s="69"/>
      <c r="Q623" s="69"/>
      <c r="R623" s="69"/>
      <c r="S623" s="69"/>
      <c r="T623" s="69"/>
      <c r="U623" s="69"/>
      <c r="V623" s="69"/>
      <c r="W623" s="81"/>
      <c r="X623" s="69"/>
      <c r="Y623" s="69"/>
      <c r="Z623" s="69"/>
      <c r="AA623" s="69"/>
      <c r="AB623" s="69"/>
    </row>
    <row r="624" spans="1:28">
      <c r="A624" s="67"/>
      <c r="B624" s="67"/>
      <c r="C624" s="68"/>
      <c r="F624" s="69"/>
      <c r="G624" s="69"/>
      <c r="H624" s="69"/>
      <c r="I624" s="69"/>
      <c r="J624" s="69"/>
      <c r="K624" s="69"/>
      <c r="L624" s="69"/>
      <c r="M624" s="69"/>
      <c r="N624" s="69"/>
      <c r="O624" s="69"/>
      <c r="P624" s="69"/>
      <c r="Q624" s="69"/>
      <c r="R624" s="69"/>
      <c r="S624" s="69"/>
      <c r="T624" s="69"/>
      <c r="U624" s="69"/>
      <c r="V624" s="69"/>
      <c r="W624" s="81"/>
      <c r="X624" s="69"/>
      <c r="Y624" s="69"/>
      <c r="Z624" s="69"/>
      <c r="AA624" s="69"/>
      <c r="AB624" s="69"/>
    </row>
    <row r="625" spans="1:28">
      <c r="A625" s="67"/>
      <c r="B625" s="67"/>
      <c r="C625" s="68"/>
      <c r="F625" s="69"/>
      <c r="G625" s="69"/>
      <c r="H625" s="69"/>
      <c r="I625" s="69"/>
      <c r="J625" s="69"/>
      <c r="K625" s="69"/>
      <c r="L625" s="69"/>
      <c r="M625" s="69"/>
      <c r="N625" s="69"/>
      <c r="O625" s="69"/>
      <c r="P625" s="69"/>
      <c r="Q625" s="69"/>
      <c r="R625" s="69"/>
      <c r="S625" s="69"/>
      <c r="T625" s="69"/>
      <c r="U625" s="69"/>
      <c r="V625" s="69"/>
      <c r="W625" s="81"/>
      <c r="X625" s="69"/>
      <c r="Y625" s="69"/>
      <c r="Z625" s="69"/>
      <c r="AA625" s="69"/>
      <c r="AB625" s="69"/>
    </row>
    <row r="626" spans="1:28">
      <c r="A626" s="67"/>
      <c r="B626" s="67"/>
      <c r="C626" s="68"/>
      <c r="F626" s="69"/>
      <c r="G626" s="69"/>
      <c r="H626" s="69"/>
      <c r="I626" s="69"/>
      <c r="J626" s="69"/>
      <c r="K626" s="69"/>
      <c r="L626" s="69"/>
      <c r="M626" s="69"/>
      <c r="N626" s="69"/>
      <c r="O626" s="69"/>
      <c r="P626" s="69"/>
      <c r="Q626" s="69"/>
      <c r="R626" s="69"/>
      <c r="S626" s="69"/>
      <c r="T626" s="69"/>
      <c r="U626" s="69"/>
      <c r="V626" s="69"/>
      <c r="W626" s="81"/>
      <c r="X626" s="69"/>
      <c r="Y626" s="69"/>
      <c r="Z626" s="69"/>
      <c r="AA626" s="69"/>
      <c r="AB626" s="69"/>
    </row>
    <row r="627" spans="1:28">
      <c r="A627" s="67"/>
      <c r="B627" s="67"/>
      <c r="C627" s="68"/>
      <c r="F627" s="69"/>
      <c r="G627" s="69"/>
      <c r="H627" s="69"/>
      <c r="I627" s="69"/>
      <c r="J627" s="69"/>
      <c r="K627" s="69"/>
      <c r="L627" s="69"/>
      <c r="M627" s="69"/>
      <c r="N627" s="69"/>
      <c r="O627" s="69"/>
      <c r="P627" s="69"/>
      <c r="Q627" s="69"/>
      <c r="R627" s="69"/>
      <c r="S627" s="69"/>
      <c r="T627" s="69"/>
      <c r="U627" s="69"/>
      <c r="V627" s="69"/>
      <c r="W627" s="81"/>
      <c r="X627" s="69"/>
      <c r="Y627" s="69"/>
      <c r="Z627" s="69"/>
      <c r="AA627" s="69"/>
      <c r="AB627" s="69"/>
    </row>
    <row r="628" spans="1:28">
      <c r="A628" s="67"/>
      <c r="B628" s="67"/>
      <c r="C628" s="68"/>
      <c r="F628" s="69"/>
      <c r="G628" s="69"/>
      <c r="H628" s="69"/>
      <c r="I628" s="69"/>
      <c r="J628" s="69"/>
      <c r="K628" s="69"/>
      <c r="L628" s="69"/>
      <c r="M628" s="69"/>
      <c r="N628" s="69"/>
      <c r="O628" s="69"/>
      <c r="P628" s="69"/>
      <c r="Q628" s="69"/>
      <c r="R628" s="69"/>
      <c r="S628" s="69"/>
      <c r="T628" s="69"/>
      <c r="U628" s="69"/>
      <c r="V628" s="69"/>
      <c r="W628" s="81"/>
      <c r="X628" s="69"/>
      <c r="Y628" s="69"/>
      <c r="Z628" s="69"/>
      <c r="AA628" s="69"/>
      <c r="AB628" s="69"/>
    </row>
    <row r="629" spans="1:28">
      <c r="A629" s="67"/>
      <c r="B629" s="67"/>
      <c r="C629" s="68"/>
      <c r="F629" s="69"/>
      <c r="G629" s="69"/>
      <c r="H629" s="69"/>
      <c r="I629" s="69"/>
      <c r="J629" s="69"/>
      <c r="K629" s="69"/>
      <c r="L629" s="69"/>
      <c r="M629" s="69"/>
      <c r="N629" s="69"/>
      <c r="O629" s="69"/>
      <c r="P629" s="69"/>
      <c r="Q629" s="69"/>
      <c r="R629" s="69"/>
      <c r="S629" s="69"/>
      <c r="T629" s="69"/>
      <c r="U629" s="69"/>
      <c r="V629" s="69"/>
      <c r="W629" s="81"/>
      <c r="X629" s="69"/>
      <c r="Y629" s="69"/>
      <c r="Z629" s="69"/>
      <c r="AA629" s="69"/>
      <c r="AB629" s="69"/>
    </row>
    <row r="630" spans="1:28">
      <c r="A630" s="67"/>
      <c r="B630" s="67"/>
      <c r="C630" s="68"/>
      <c r="F630" s="69"/>
      <c r="G630" s="69"/>
      <c r="H630" s="69"/>
      <c r="I630" s="69"/>
      <c r="J630" s="69"/>
      <c r="K630" s="69"/>
      <c r="L630" s="69"/>
      <c r="M630" s="69"/>
      <c r="N630" s="69"/>
      <c r="O630" s="69"/>
      <c r="P630" s="69"/>
      <c r="Q630" s="69"/>
      <c r="R630" s="69"/>
      <c r="S630" s="69"/>
      <c r="T630" s="69"/>
      <c r="U630" s="69"/>
      <c r="V630" s="69"/>
      <c r="W630" s="81"/>
      <c r="X630" s="69"/>
      <c r="Y630" s="69"/>
      <c r="Z630" s="69"/>
      <c r="AA630" s="69"/>
      <c r="AB630" s="69"/>
    </row>
    <row r="631" spans="1:28">
      <c r="A631" s="67"/>
      <c r="B631" s="67"/>
      <c r="C631" s="68"/>
      <c r="F631" s="69"/>
      <c r="G631" s="69"/>
      <c r="H631" s="69"/>
      <c r="I631" s="69"/>
      <c r="J631" s="69"/>
      <c r="K631" s="69"/>
      <c r="L631" s="69"/>
      <c r="M631" s="69"/>
      <c r="N631" s="69"/>
      <c r="O631" s="69"/>
      <c r="P631" s="69"/>
      <c r="Q631" s="69"/>
      <c r="R631" s="69"/>
      <c r="S631" s="69"/>
      <c r="T631" s="69"/>
      <c r="U631" s="69"/>
      <c r="V631" s="69"/>
      <c r="W631" s="81"/>
      <c r="X631" s="69"/>
      <c r="Y631" s="69"/>
      <c r="Z631" s="69"/>
      <c r="AA631" s="69"/>
      <c r="AB631" s="69"/>
    </row>
    <row r="632" spans="1:28">
      <c r="A632" s="67"/>
      <c r="B632" s="67"/>
      <c r="C632" s="68"/>
      <c r="F632" s="69"/>
      <c r="G632" s="69"/>
      <c r="H632" s="69"/>
      <c r="I632" s="69"/>
      <c r="J632" s="69"/>
      <c r="K632" s="69"/>
      <c r="L632" s="69"/>
      <c r="M632" s="69"/>
      <c r="N632" s="69"/>
      <c r="O632" s="69"/>
      <c r="P632" s="69"/>
      <c r="Q632" s="69"/>
      <c r="R632" s="69"/>
      <c r="S632" s="69"/>
      <c r="T632" s="69"/>
      <c r="U632" s="69"/>
      <c r="V632" s="69"/>
      <c r="W632" s="81"/>
      <c r="X632" s="69"/>
      <c r="Y632" s="69"/>
      <c r="Z632" s="69"/>
      <c r="AA632" s="69"/>
      <c r="AB632" s="69"/>
    </row>
    <row r="633" spans="1:28">
      <c r="A633" s="67"/>
      <c r="B633" s="67"/>
      <c r="C633" s="68"/>
      <c r="F633" s="69"/>
      <c r="G633" s="69"/>
      <c r="H633" s="69"/>
      <c r="I633" s="69"/>
      <c r="J633" s="69"/>
      <c r="K633" s="69"/>
      <c r="L633" s="69"/>
      <c r="M633" s="69"/>
      <c r="N633" s="69"/>
      <c r="O633" s="69"/>
      <c r="P633" s="69"/>
      <c r="Q633" s="69"/>
      <c r="R633" s="69"/>
      <c r="S633" s="69"/>
      <c r="T633" s="69"/>
      <c r="U633" s="69"/>
      <c r="V633" s="69"/>
      <c r="W633" s="81"/>
      <c r="X633" s="69"/>
      <c r="Y633" s="69"/>
      <c r="Z633" s="69"/>
      <c r="AA633" s="69"/>
      <c r="AB633" s="69"/>
    </row>
    <row r="634" spans="1:28">
      <c r="A634" s="67"/>
      <c r="B634" s="67"/>
      <c r="C634" s="68"/>
      <c r="F634" s="69"/>
      <c r="G634" s="69"/>
      <c r="H634" s="69"/>
      <c r="I634" s="69"/>
      <c r="J634" s="69"/>
      <c r="K634" s="69"/>
      <c r="L634" s="69"/>
      <c r="M634" s="69"/>
      <c r="N634" s="69"/>
      <c r="O634" s="69"/>
      <c r="P634" s="69"/>
      <c r="Q634" s="69"/>
      <c r="R634" s="69"/>
      <c r="S634" s="69"/>
      <c r="T634" s="69"/>
      <c r="U634" s="69"/>
      <c r="V634" s="69"/>
      <c r="W634" s="81"/>
      <c r="X634" s="69"/>
      <c r="Y634" s="69"/>
      <c r="Z634" s="69"/>
      <c r="AA634" s="69"/>
      <c r="AB634" s="69"/>
    </row>
    <row r="635" spans="1:28">
      <c r="A635" s="67"/>
      <c r="B635" s="67"/>
      <c r="C635" s="68"/>
      <c r="F635" s="69"/>
      <c r="G635" s="69"/>
      <c r="H635" s="69"/>
      <c r="I635" s="69"/>
      <c r="J635" s="69"/>
      <c r="K635" s="69"/>
      <c r="L635" s="69"/>
      <c r="M635" s="69"/>
      <c r="N635" s="69"/>
      <c r="O635" s="69"/>
      <c r="P635" s="69"/>
      <c r="Q635" s="69"/>
      <c r="R635" s="69"/>
      <c r="S635" s="69"/>
      <c r="T635" s="69"/>
      <c r="U635" s="69"/>
      <c r="V635" s="69"/>
      <c r="W635" s="81"/>
      <c r="X635" s="69"/>
      <c r="Y635" s="69"/>
      <c r="Z635" s="69"/>
      <c r="AA635" s="69"/>
      <c r="AB635" s="69"/>
    </row>
    <row r="636" spans="1:28">
      <c r="A636" s="67"/>
      <c r="B636" s="67"/>
      <c r="C636" s="68"/>
      <c r="F636" s="69"/>
      <c r="G636" s="69"/>
      <c r="H636" s="69"/>
      <c r="I636" s="69"/>
      <c r="J636" s="69"/>
      <c r="K636" s="69"/>
      <c r="L636" s="69"/>
      <c r="M636" s="69"/>
      <c r="N636" s="69"/>
      <c r="O636" s="69"/>
      <c r="P636" s="69"/>
      <c r="Q636" s="69"/>
      <c r="R636" s="69"/>
      <c r="S636" s="69"/>
      <c r="T636" s="69"/>
      <c r="U636" s="69"/>
      <c r="V636" s="69"/>
      <c r="W636" s="81"/>
      <c r="X636" s="69"/>
      <c r="Y636" s="69"/>
      <c r="Z636" s="69"/>
      <c r="AA636" s="69"/>
      <c r="AB636" s="69"/>
    </row>
    <row r="637" spans="1:28">
      <c r="A637" s="67"/>
      <c r="B637" s="67"/>
      <c r="C637" s="68"/>
      <c r="F637" s="69"/>
      <c r="G637" s="69"/>
      <c r="H637" s="69"/>
      <c r="I637" s="69"/>
      <c r="J637" s="69"/>
      <c r="K637" s="69"/>
      <c r="L637" s="69"/>
      <c r="M637" s="69"/>
      <c r="N637" s="69"/>
      <c r="O637" s="69"/>
      <c r="P637" s="69"/>
      <c r="Q637" s="69"/>
      <c r="R637" s="69"/>
      <c r="S637" s="69"/>
      <c r="T637" s="69"/>
      <c r="U637" s="69"/>
      <c r="V637" s="69"/>
      <c r="W637" s="81"/>
      <c r="X637" s="69"/>
      <c r="Y637" s="69"/>
      <c r="Z637" s="69"/>
      <c r="AA637" s="69"/>
      <c r="AB637" s="69"/>
    </row>
    <row r="638" spans="1:28">
      <c r="A638" s="67"/>
      <c r="B638" s="67"/>
      <c r="C638" s="68"/>
      <c r="F638" s="69"/>
      <c r="G638" s="69"/>
      <c r="H638" s="69"/>
      <c r="I638" s="69"/>
      <c r="J638" s="69"/>
      <c r="K638" s="69"/>
      <c r="L638" s="69"/>
      <c r="M638" s="69"/>
      <c r="N638" s="69"/>
      <c r="O638" s="69"/>
      <c r="P638" s="69"/>
      <c r="Q638" s="69"/>
      <c r="R638" s="69"/>
      <c r="S638" s="69"/>
      <c r="T638" s="69"/>
      <c r="U638" s="69"/>
      <c r="V638" s="69"/>
      <c r="W638" s="81"/>
      <c r="X638" s="69"/>
      <c r="Y638" s="69"/>
      <c r="Z638" s="69"/>
      <c r="AA638" s="69"/>
      <c r="AB638" s="69"/>
    </row>
    <row r="639" spans="1:28">
      <c r="A639" s="67"/>
      <c r="B639" s="67"/>
      <c r="C639" s="68"/>
      <c r="F639" s="69"/>
      <c r="G639" s="69"/>
      <c r="H639" s="69"/>
      <c r="I639" s="69"/>
      <c r="J639" s="69"/>
      <c r="K639" s="69"/>
      <c r="L639" s="69"/>
      <c r="M639" s="69"/>
      <c r="N639" s="69"/>
      <c r="O639" s="69"/>
      <c r="P639" s="69"/>
      <c r="Q639" s="69"/>
      <c r="R639" s="69"/>
      <c r="S639" s="69"/>
      <c r="T639" s="69"/>
      <c r="U639" s="69"/>
      <c r="V639" s="69"/>
      <c r="W639" s="81"/>
      <c r="X639" s="69"/>
      <c r="Y639" s="69"/>
      <c r="Z639" s="69"/>
      <c r="AA639" s="69"/>
      <c r="AB639" s="69"/>
    </row>
    <row r="640" spans="1:28">
      <c r="A640" s="67"/>
      <c r="B640" s="67"/>
      <c r="C640" s="68"/>
      <c r="F640" s="69"/>
      <c r="G640" s="69"/>
      <c r="H640" s="69"/>
      <c r="I640" s="69"/>
      <c r="J640" s="69"/>
      <c r="K640" s="69"/>
      <c r="L640" s="69"/>
      <c r="M640" s="69"/>
      <c r="N640" s="69"/>
      <c r="O640" s="69"/>
      <c r="P640" s="69"/>
      <c r="Q640" s="69"/>
      <c r="R640" s="69"/>
      <c r="S640" s="69"/>
      <c r="T640" s="69"/>
      <c r="U640" s="69"/>
      <c r="V640" s="69"/>
      <c r="W640" s="81"/>
      <c r="X640" s="69"/>
      <c r="Y640" s="69"/>
      <c r="Z640" s="69"/>
      <c r="AA640" s="69"/>
      <c r="AB640" s="69"/>
    </row>
    <row r="641" spans="1:28">
      <c r="A641" s="67"/>
      <c r="B641" s="67"/>
      <c r="C641" s="68"/>
      <c r="F641" s="69"/>
      <c r="G641" s="69"/>
      <c r="H641" s="69"/>
      <c r="I641" s="69"/>
      <c r="J641" s="69"/>
      <c r="K641" s="69"/>
      <c r="L641" s="69"/>
      <c r="M641" s="69"/>
      <c r="N641" s="69"/>
      <c r="O641" s="69"/>
      <c r="P641" s="69"/>
      <c r="Q641" s="69"/>
      <c r="R641" s="69"/>
      <c r="S641" s="69"/>
      <c r="T641" s="69"/>
      <c r="U641" s="69"/>
      <c r="V641" s="69"/>
      <c r="W641" s="81"/>
      <c r="X641" s="69"/>
      <c r="Y641" s="69"/>
      <c r="Z641" s="69"/>
      <c r="AA641" s="69"/>
      <c r="AB641" s="69"/>
    </row>
    <row r="642" spans="1:28">
      <c r="A642" s="67"/>
      <c r="B642" s="67"/>
      <c r="C642" s="68"/>
      <c r="F642" s="69"/>
      <c r="G642" s="69"/>
      <c r="H642" s="69"/>
      <c r="I642" s="69"/>
      <c r="J642" s="69"/>
      <c r="K642" s="69"/>
      <c r="L642" s="69"/>
      <c r="M642" s="69"/>
      <c r="N642" s="69"/>
      <c r="O642" s="69"/>
      <c r="P642" s="69"/>
      <c r="Q642" s="69"/>
      <c r="R642" s="69"/>
      <c r="S642" s="69"/>
      <c r="T642" s="69"/>
      <c r="U642" s="69"/>
      <c r="V642" s="69"/>
      <c r="W642" s="81"/>
      <c r="X642" s="69"/>
      <c r="Y642" s="69"/>
      <c r="Z642" s="69"/>
      <c r="AA642" s="69"/>
      <c r="AB642" s="69"/>
    </row>
    <row r="643" spans="1:28">
      <c r="A643" s="67"/>
      <c r="B643" s="67"/>
      <c r="C643" s="68"/>
      <c r="F643" s="69"/>
      <c r="G643" s="69"/>
      <c r="H643" s="69"/>
      <c r="I643" s="69"/>
      <c r="J643" s="69"/>
      <c r="K643" s="69"/>
      <c r="L643" s="69"/>
      <c r="M643" s="69"/>
      <c r="N643" s="69"/>
      <c r="O643" s="69"/>
      <c r="P643" s="69"/>
      <c r="Q643" s="69"/>
      <c r="R643" s="69"/>
      <c r="S643" s="69"/>
      <c r="T643" s="69"/>
      <c r="U643" s="69"/>
      <c r="V643" s="69"/>
      <c r="W643" s="81"/>
      <c r="X643" s="69"/>
      <c r="Y643" s="69"/>
      <c r="Z643" s="69"/>
      <c r="AA643" s="69"/>
      <c r="AB643" s="69"/>
    </row>
    <row r="644" spans="1:28">
      <c r="A644" s="67"/>
      <c r="B644" s="67"/>
      <c r="C644" s="68"/>
      <c r="F644" s="69"/>
      <c r="G644" s="69"/>
      <c r="H644" s="69"/>
      <c r="I644" s="69"/>
      <c r="J644" s="69"/>
      <c r="K644" s="69"/>
      <c r="L644" s="69"/>
      <c r="M644" s="69"/>
      <c r="N644" s="69"/>
      <c r="O644" s="69"/>
      <c r="P644" s="69"/>
      <c r="Q644" s="69"/>
      <c r="R644" s="69"/>
      <c r="S644" s="69"/>
      <c r="T644" s="69"/>
      <c r="U644" s="69"/>
      <c r="V644" s="69"/>
      <c r="W644" s="81"/>
      <c r="X644" s="69"/>
      <c r="Y644" s="69"/>
      <c r="Z644" s="69"/>
      <c r="AA644" s="69"/>
      <c r="AB644" s="69"/>
    </row>
    <row r="645" spans="1:28">
      <c r="A645" s="67"/>
      <c r="B645" s="67"/>
      <c r="C645" s="68"/>
      <c r="F645" s="69"/>
      <c r="G645" s="69"/>
      <c r="H645" s="69"/>
      <c r="I645" s="69"/>
      <c r="J645" s="69"/>
      <c r="K645" s="69"/>
      <c r="L645" s="69"/>
      <c r="M645" s="69"/>
      <c r="N645" s="69"/>
      <c r="O645" s="69"/>
      <c r="P645" s="69"/>
      <c r="Q645" s="69"/>
      <c r="R645" s="69"/>
      <c r="S645" s="69"/>
      <c r="T645" s="69"/>
      <c r="U645" s="69"/>
      <c r="V645" s="69"/>
      <c r="W645" s="81"/>
      <c r="X645" s="69"/>
      <c r="Y645" s="69"/>
      <c r="Z645" s="69"/>
      <c r="AA645" s="69"/>
      <c r="AB645" s="69"/>
    </row>
    <row r="646" spans="1:28">
      <c r="A646" s="67"/>
      <c r="B646" s="67"/>
      <c r="C646" s="68"/>
      <c r="F646" s="69"/>
      <c r="G646" s="69"/>
      <c r="H646" s="69"/>
      <c r="I646" s="69"/>
      <c r="J646" s="69"/>
      <c r="K646" s="69"/>
      <c r="L646" s="69"/>
      <c r="M646" s="69"/>
      <c r="N646" s="69"/>
      <c r="O646" s="69"/>
      <c r="P646" s="69"/>
      <c r="Q646" s="69"/>
      <c r="R646" s="69"/>
      <c r="S646" s="69"/>
      <c r="T646" s="69"/>
      <c r="U646" s="69"/>
      <c r="V646" s="69"/>
      <c r="W646" s="81"/>
      <c r="X646" s="69"/>
      <c r="Y646" s="69"/>
      <c r="Z646" s="69"/>
      <c r="AA646" s="69"/>
      <c r="AB646" s="69"/>
    </row>
    <row r="647" spans="1:28">
      <c r="A647" s="67"/>
      <c r="B647" s="67"/>
      <c r="C647" s="68"/>
      <c r="F647" s="69"/>
      <c r="G647" s="69"/>
      <c r="H647" s="69"/>
      <c r="I647" s="69"/>
      <c r="J647" s="69"/>
      <c r="K647" s="69"/>
      <c r="L647" s="69"/>
      <c r="M647" s="69"/>
      <c r="N647" s="69"/>
      <c r="O647" s="69"/>
      <c r="P647" s="69"/>
      <c r="Q647" s="69"/>
      <c r="R647" s="69"/>
      <c r="S647" s="69"/>
      <c r="T647" s="69"/>
      <c r="U647" s="69"/>
      <c r="V647" s="69"/>
      <c r="W647" s="81"/>
      <c r="X647" s="69"/>
      <c r="Y647" s="69"/>
      <c r="Z647" s="69"/>
      <c r="AA647" s="69"/>
      <c r="AB647" s="69"/>
    </row>
    <row r="648" spans="1:28">
      <c r="A648" s="67"/>
      <c r="B648" s="67"/>
      <c r="C648" s="68"/>
      <c r="F648" s="69"/>
      <c r="G648" s="69"/>
      <c r="H648" s="69"/>
      <c r="I648" s="69"/>
      <c r="J648" s="69"/>
      <c r="K648" s="69"/>
      <c r="L648" s="69"/>
      <c r="M648" s="69"/>
      <c r="N648" s="69"/>
      <c r="O648" s="69"/>
      <c r="P648" s="69"/>
      <c r="Q648" s="69"/>
      <c r="R648" s="69"/>
      <c r="S648" s="69"/>
      <c r="T648" s="69"/>
      <c r="U648" s="69"/>
      <c r="V648" s="69"/>
      <c r="W648" s="81"/>
      <c r="X648" s="69"/>
      <c r="Y648" s="69"/>
      <c r="Z648" s="69"/>
      <c r="AA648" s="69"/>
      <c r="AB648" s="69"/>
    </row>
    <row r="649" spans="1:28">
      <c r="A649" s="67"/>
      <c r="B649" s="67"/>
      <c r="C649" s="68"/>
      <c r="F649" s="69"/>
      <c r="G649" s="69"/>
      <c r="H649" s="69"/>
      <c r="I649" s="69"/>
      <c r="J649" s="69"/>
      <c r="K649" s="69"/>
      <c r="L649" s="69"/>
      <c r="M649" s="69"/>
      <c r="N649" s="69"/>
      <c r="O649" s="69"/>
      <c r="P649" s="69"/>
      <c r="Q649" s="69"/>
      <c r="R649" s="69"/>
      <c r="S649" s="69"/>
      <c r="T649" s="69"/>
      <c r="U649" s="69"/>
      <c r="V649" s="69"/>
      <c r="W649" s="81"/>
      <c r="X649" s="69"/>
      <c r="Y649" s="69"/>
      <c r="Z649" s="69"/>
      <c r="AA649" s="69"/>
      <c r="AB649" s="69"/>
    </row>
    <row r="650" spans="1:28">
      <c r="A650" s="67"/>
      <c r="B650" s="67"/>
      <c r="C650" s="68"/>
      <c r="F650" s="69"/>
      <c r="G650" s="69"/>
      <c r="H650" s="69"/>
      <c r="I650" s="69"/>
      <c r="J650" s="69"/>
      <c r="K650" s="69"/>
      <c r="L650" s="69"/>
      <c r="M650" s="69"/>
      <c r="N650" s="69"/>
      <c r="O650" s="69"/>
      <c r="P650" s="69"/>
      <c r="Q650" s="69"/>
      <c r="R650" s="69"/>
      <c r="S650" s="69"/>
      <c r="T650" s="69"/>
      <c r="U650" s="69"/>
      <c r="V650" s="69"/>
      <c r="W650" s="81"/>
      <c r="X650" s="69"/>
      <c r="Y650" s="69"/>
      <c r="Z650" s="69"/>
      <c r="AA650" s="69"/>
      <c r="AB650" s="69"/>
    </row>
    <row r="651" spans="1:28">
      <c r="A651" s="67"/>
      <c r="B651" s="67"/>
      <c r="C651" s="68"/>
      <c r="F651" s="69"/>
      <c r="G651" s="69"/>
      <c r="H651" s="69"/>
      <c r="I651" s="69"/>
      <c r="J651" s="69"/>
      <c r="K651" s="69"/>
      <c r="L651" s="69"/>
      <c r="M651" s="69"/>
      <c r="N651" s="69"/>
      <c r="O651" s="69"/>
      <c r="P651" s="69"/>
      <c r="Q651" s="69"/>
      <c r="R651" s="69"/>
      <c r="S651" s="69"/>
      <c r="T651" s="69"/>
      <c r="U651" s="69"/>
      <c r="V651" s="69"/>
      <c r="W651" s="81"/>
      <c r="X651" s="69"/>
      <c r="Y651" s="69"/>
      <c r="Z651" s="69"/>
      <c r="AA651" s="69"/>
      <c r="AB651" s="69"/>
    </row>
    <row r="652" spans="1:28">
      <c r="A652" s="67"/>
      <c r="B652" s="67"/>
      <c r="C652" s="68"/>
      <c r="F652" s="69"/>
      <c r="G652" s="69"/>
      <c r="H652" s="69"/>
      <c r="I652" s="69"/>
      <c r="J652" s="69"/>
      <c r="K652" s="69"/>
      <c r="L652" s="69"/>
      <c r="M652" s="69"/>
      <c r="N652" s="69"/>
      <c r="O652" s="69"/>
      <c r="P652" s="69"/>
      <c r="Q652" s="69"/>
      <c r="R652" s="69"/>
      <c r="S652" s="69"/>
      <c r="T652" s="69"/>
      <c r="U652" s="69"/>
      <c r="V652" s="69"/>
      <c r="W652" s="81"/>
      <c r="X652" s="69"/>
      <c r="Y652" s="69"/>
      <c r="Z652" s="69"/>
      <c r="AA652" s="69"/>
      <c r="AB652" s="69"/>
    </row>
    <row r="653" spans="1:28">
      <c r="A653" s="67"/>
      <c r="B653" s="67"/>
      <c r="C653" s="68"/>
      <c r="F653" s="69"/>
      <c r="G653" s="69"/>
      <c r="H653" s="69"/>
      <c r="I653" s="69"/>
      <c r="J653" s="69"/>
      <c r="K653" s="69"/>
      <c r="L653" s="69"/>
      <c r="M653" s="69"/>
      <c r="N653" s="69"/>
      <c r="O653" s="69"/>
      <c r="P653" s="69"/>
      <c r="Q653" s="69"/>
      <c r="R653" s="69"/>
      <c r="S653" s="69"/>
      <c r="T653" s="69"/>
      <c r="U653" s="69"/>
      <c r="V653" s="69"/>
      <c r="W653" s="81"/>
      <c r="X653" s="69"/>
      <c r="Y653" s="69"/>
      <c r="Z653" s="69"/>
      <c r="AA653" s="69"/>
      <c r="AB653" s="69"/>
    </row>
    <row r="654" spans="1:28">
      <c r="A654" s="67"/>
      <c r="B654" s="67"/>
      <c r="C654" s="68"/>
      <c r="F654" s="69"/>
      <c r="G654" s="69"/>
      <c r="H654" s="69"/>
      <c r="I654" s="69"/>
      <c r="J654" s="69"/>
      <c r="K654" s="69"/>
      <c r="L654" s="69"/>
      <c r="M654" s="69"/>
      <c r="N654" s="69"/>
      <c r="O654" s="69"/>
      <c r="P654" s="69"/>
      <c r="Q654" s="69"/>
      <c r="R654" s="69"/>
      <c r="S654" s="69"/>
      <c r="T654" s="69"/>
      <c r="U654" s="69"/>
      <c r="V654" s="69"/>
      <c r="W654" s="81"/>
      <c r="X654" s="69"/>
      <c r="Y654" s="69"/>
      <c r="Z654" s="69"/>
      <c r="AA654" s="69"/>
      <c r="AB654" s="69"/>
    </row>
    <row r="655" spans="1:28">
      <c r="A655" s="67"/>
      <c r="B655" s="67"/>
      <c r="C655" s="68"/>
      <c r="F655" s="69"/>
      <c r="G655" s="69"/>
      <c r="H655" s="69"/>
      <c r="I655" s="69"/>
      <c r="J655" s="69"/>
      <c r="K655" s="69"/>
      <c r="L655" s="69"/>
      <c r="M655" s="69"/>
      <c r="N655" s="69"/>
      <c r="O655" s="69"/>
      <c r="P655" s="69"/>
      <c r="Q655" s="69"/>
      <c r="R655" s="69"/>
      <c r="S655" s="69"/>
      <c r="T655" s="69"/>
      <c r="U655" s="69"/>
      <c r="V655" s="69"/>
      <c r="W655" s="81"/>
      <c r="X655" s="69"/>
      <c r="Y655" s="69"/>
      <c r="Z655" s="69"/>
      <c r="AA655" s="69"/>
      <c r="AB655" s="69"/>
    </row>
    <row r="656" spans="1:28">
      <c r="A656" s="67"/>
      <c r="B656" s="67"/>
      <c r="C656" s="68"/>
      <c r="F656" s="69"/>
      <c r="G656" s="69"/>
      <c r="H656" s="69"/>
      <c r="I656" s="69"/>
      <c r="J656" s="69"/>
      <c r="K656" s="69"/>
      <c r="L656" s="69"/>
      <c r="M656" s="69"/>
      <c r="N656" s="69"/>
      <c r="O656" s="69"/>
      <c r="P656" s="69"/>
      <c r="Q656" s="69"/>
      <c r="R656" s="69"/>
      <c r="S656" s="69"/>
      <c r="T656" s="69"/>
      <c r="U656" s="69"/>
      <c r="V656" s="69"/>
      <c r="W656" s="81"/>
      <c r="X656" s="69"/>
      <c r="Y656" s="69"/>
      <c r="Z656" s="69"/>
      <c r="AA656" s="69"/>
      <c r="AB656" s="69"/>
    </row>
    <row r="657" spans="1:28">
      <c r="A657" s="67"/>
      <c r="B657" s="67"/>
      <c r="C657" s="68"/>
      <c r="F657" s="69"/>
      <c r="G657" s="69"/>
      <c r="H657" s="69"/>
      <c r="I657" s="69"/>
      <c r="J657" s="69"/>
      <c r="K657" s="69"/>
      <c r="L657" s="69"/>
      <c r="M657" s="69"/>
      <c r="N657" s="69"/>
      <c r="O657" s="69"/>
      <c r="P657" s="69"/>
      <c r="Q657" s="69"/>
      <c r="R657" s="69"/>
      <c r="S657" s="69"/>
      <c r="T657" s="69"/>
      <c r="U657" s="69"/>
      <c r="V657" s="69"/>
      <c r="W657" s="81"/>
      <c r="X657" s="69"/>
      <c r="Y657" s="69"/>
      <c r="Z657" s="69"/>
      <c r="AA657" s="69"/>
      <c r="AB657" s="69"/>
    </row>
    <row r="658" spans="1:28">
      <c r="A658" s="67"/>
      <c r="B658" s="67"/>
      <c r="C658" s="68"/>
      <c r="F658" s="69"/>
      <c r="G658" s="69"/>
      <c r="H658" s="69"/>
      <c r="I658" s="69"/>
      <c r="J658" s="69"/>
      <c r="K658" s="69"/>
      <c r="L658" s="69"/>
      <c r="M658" s="69"/>
      <c r="N658" s="69"/>
      <c r="O658" s="69"/>
      <c r="P658" s="69"/>
      <c r="Q658" s="69"/>
      <c r="R658" s="69"/>
      <c r="S658" s="69"/>
      <c r="T658" s="69"/>
      <c r="U658" s="69"/>
      <c r="V658" s="69"/>
      <c r="W658" s="81"/>
      <c r="X658" s="69"/>
      <c r="Y658" s="69"/>
      <c r="Z658" s="69"/>
      <c r="AA658" s="69"/>
      <c r="AB658" s="69"/>
    </row>
    <row r="659" spans="1:28">
      <c r="A659" s="67"/>
      <c r="B659" s="67"/>
      <c r="C659" s="68"/>
      <c r="F659" s="69"/>
      <c r="G659" s="69"/>
      <c r="H659" s="69"/>
      <c r="I659" s="69"/>
      <c r="J659" s="69"/>
      <c r="K659" s="69"/>
      <c r="L659" s="69"/>
      <c r="M659" s="69"/>
      <c r="N659" s="69"/>
      <c r="O659" s="69"/>
      <c r="P659" s="69"/>
      <c r="Q659" s="69"/>
      <c r="R659" s="69"/>
      <c r="S659" s="69"/>
      <c r="T659" s="69"/>
      <c r="U659" s="69"/>
      <c r="V659" s="69"/>
      <c r="W659" s="81"/>
      <c r="X659" s="69"/>
      <c r="Y659" s="69"/>
      <c r="Z659" s="69"/>
      <c r="AA659" s="69"/>
      <c r="AB659" s="69"/>
    </row>
    <row r="660" spans="1:28">
      <c r="A660" s="67"/>
      <c r="B660" s="67"/>
      <c r="C660" s="68"/>
      <c r="F660" s="69"/>
      <c r="G660" s="69"/>
      <c r="H660" s="69"/>
      <c r="I660" s="69"/>
      <c r="J660" s="69"/>
      <c r="K660" s="69"/>
      <c r="L660" s="69"/>
      <c r="M660" s="69"/>
      <c r="N660" s="69"/>
      <c r="O660" s="69"/>
      <c r="P660" s="69"/>
      <c r="Q660" s="69"/>
      <c r="R660" s="69"/>
      <c r="S660" s="69"/>
      <c r="T660" s="69"/>
      <c r="U660" s="69"/>
      <c r="V660" s="69"/>
      <c r="W660" s="81"/>
      <c r="X660" s="69"/>
      <c r="Y660" s="69"/>
      <c r="Z660" s="69"/>
      <c r="AA660" s="69"/>
      <c r="AB660" s="69"/>
    </row>
    <row r="661" spans="1:28">
      <c r="A661" s="67"/>
      <c r="B661" s="67"/>
      <c r="C661" s="68"/>
      <c r="F661" s="69"/>
      <c r="G661" s="69"/>
      <c r="H661" s="69"/>
      <c r="I661" s="69"/>
      <c r="J661" s="69"/>
      <c r="K661" s="69"/>
      <c r="L661" s="69"/>
      <c r="M661" s="69"/>
      <c r="N661" s="69"/>
      <c r="O661" s="69"/>
      <c r="P661" s="69"/>
      <c r="Q661" s="69"/>
      <c r="R661" s="69"/>
      <c r="S661" s="69"/>
      <c r="T661" s="69"/>
      <c r="U661" s="69"/>
      <c r="V661" s="69"/>
      <c r="W661" s="81"/>
      <c r="X661" s="69"/>
      <c r="Y661" s="69"/>
      <c r="Z661" s="69"/>
      <c r="AA661" s="69"/>
      <c r="AB661" s="69"/>
    </row>
    <row r="662" spans="1:28">
      <c r="A662" s="67"/>
      <c r="B662" s="67"/>
      <c r="C662" s="68"/>
      <c r="F662" s="69"/>
      <c r="G662" s="69"/>
      <c r="H662" s="69"/>
      <c r="I662" s="69"/>
      <c r="J662" s="69"/>
      <c r="K662" s="69"/>
      <c r="L662" s="69"/>
      <c r="M662" s="69"/>
      <c r="N662" s="69"/>
      <c r="O662" s="69"/>
      <c r="P662" s="69"/>
      <c r="Q662" s="69"/>
      <c r="R662" s="69"/>
      <c r="S662" s="69"/>
      <c r="T662" s="69"/>
      <c r="U662" s="69"/>
      <c r="V662" s="69"/>
      <c r="W662" s="81"/>
      <c r="X662" s="69"/>
      <c r="Y662" s="69"/>
      <c r="Z662" s="69"/>
      <c r="AA662" s="69"/>
      <c r="AB662" s="69"/>
    </row>
    <row r="663" spans="1:28">
      <c r="A663" s="67"/>
      <c r="B663" s="67"/>
      <c r="C663" s="68"/>
      <c r="F663" s="69"/>
      <c r="G663" s="69"/>
      <c r="H663" s="69"/>
      <c r="I663" s="69"/>
      <c r="J663" s="69"/>
      <c r="K663" s="69"/>
      <c r="L663" s="69"/>
      <c r="M663" s="69"/>
      <c r="N663" s="69"/>
      <c r="O663" s="69"/>
      <c r="P663" s="69"/>
      <c r="Q663" s="69"/>
      <c r="R663" s="69"/>
      <c r="S663" s="69"/>
      <c r="T663" s="69"/>
      <c r="U663" s="69"/>
      <c r="V663" s="69"/>
      <c r="W663" s="81"/>
      <c r="X663" s="69"/>
      <c r="Y663" s="69"/>
      <c r="Z663" s="69"/>
      <c r="AA663" s="69"/>
      <c r="AB663" s="69"/>
    </row>
    <row r="664" spans="1:28">
      <c r="A664" s="67"/>
      <c r="B664" s="67"/>
      <c r="C664" s="68"/>
      <c r="F664" s="69"/>
      <c r="G664" s="69"/>
      <c r="H664" s="69"/>
      <c r="I664" s="69"/>
      <c r="J664" s="69"/>
      <c r="K664" s="69"/>
      <c r="L664" s="69"/>
      <c r="M664" s="69"/>
      <c r="N664" s="69"/>
      <c r="O664" s="69"/>
      <c r="P664" s="69"/>
      <c r="Q664" s="69"/>
      <c r="R664" s="69"/>
      <c r="S664" s="69"/>
      <c r="T664" s="69"/>
      <c r="U664" s="69"/>
      <c r="V664" s="69"/>
      <c r="W664" s="81"/>
      <c r="X664" s="69"/>
      <c r="Y664" s="69"/>
      <c r="Z664" s="69"/>
      <c r="AA664" s="69"/>
      <c r="AB664" s="69"/>
    </row>
    <row r="665" spans="1:28">
      <c r="A665" s="67"/>
      <c r="B665" s="67"/>
      <c r="C665" s="68"/>
      <c r="F665" s="69"/>
      <c r="G665" s="69"/>
      <c r="H665" s="69"/>
      <c r="I665" s="69"/>
      <c r="J665" s="69"/>
      <c r="K665" s="69"/>
      <c r="L665" s="69"/>
      <c r="M665" s="69"/>
      <c r="N665" s="69"/>
      <c r="O665" s="69"/>
      <c r="P665" s="69"/>
      <c r="Q665" s="69"/>
      <c r="R665" s="69"/>
      <c r="S665" s="69"/>
      <c r="T665" s="69"/>
      <c r="U665" s="69"/>
      <c r="V665" s="69"/>
      <c r="W665" s="81"/>
      <c r="X665" s="69"/>
      <c r="Y665" s="69"/>
      <c r="Z665" s="69"/>
      <c r="AA665" s="69"/>
      <c r="AB665" s="69"/>
    </row>
    <row r="666" spans="1:28">
      <c r="A666" s="67"/>
      <c r="B666" s="67"/>
      <c r="C666" s="68"/>
      <c r="F666" s="69"/>
      <c r="G666" s="69"/>
      <c r="H666" s="69"/>
      <c r="I666" s="69"/>
      <c r="J666" s="69"/>
      <c r="K666" s="69"/>
      <c r="L666" s="69"/>
      <c r="M666" s="69"/>
      <c r="N666" s="69"/>
      <c r="O666" s="69"/>
      <c r="P666" s="69"/>
      <c r="Q666" s="69"/>
      <c r="R666" s="69"/>
      <c r="S666" s="69"/>
      <c r="T666" s="69"/>
      <c r="U666" s="69"/>
      <c r="V666" s="69"/>
      <c r="W666" s="81"/>
      <c r="X666" s="69"/>
      <c r="Y666" s="69"/>
      <c r="Z666" s="69"/>
      <c r="AA666" s="69"/>
      <c r="AB666" s="69"/>
    </row>
    <row r="667" spans="1:28">
      <c r="A667" s="67"/>
      <c r="B667" s="67"/>
      <c r="C667" s="68"/>
      <c r="F667" s="69"/>
      <c r="G667" s="69"/>
      <c r="H667" s="69"/>
      <c r="I667" s="69"/>
      <c r="J667" s="69"/>
      <c r="K667" s="69"/>
      <c r="L667" s="69"/>
      <c r="M667" s="69"/>
      <c r="N667" s="69"/>
      <c r="O667" s="69"/>
      <c r="P667" s="69"/>
      <c r="Q667" s="69"/>
      <c r="R667" s="69"/>
      <c r="S667" s="69"/>
      <c r="T667" s="69"/>
      <c r="U667" s="69"/>
      <c r="V667" s="69"/>
      <c r="W667" s="81"/>
      <c r="X667" s="69"/>
      <c r="Y667" s="69"/>
      <c r="Z667" s="69"/>
      <c r="AA667" s="69"/>
      <c r="AB667" s="69"/>
    </row>
    <row r="668" spans="1:28">
      <c r="A668" s="67"/>
      <c r="B668" s="67"/>
      <c r="C668" s="68"/>
      <c r="F668" s="69"/>
      <c r="G668" s="69"/>
      <c r="H668" s="69"/>
      <c r="I668" s="69"/>
      <c r="J668" s="69"/>
      <c r="K668" s="69"/>
      <c r="L668" s="69"/>
      <c r="M668" s="69"/>
      <c r="N668" s="69"/>
      <c r="O668" s="69"/>
      <c r="P668" s="69"/>
      <c r="Q668" s="69"/>
      <c r="R668" s="69"/>
      <c r="S668" s="69"/>
      <c r="T668" s="69"/>
      <c r="U668" s="69"/>
      <c r="V668" s="69"/>
      <c r="W668" s="81"/>
      <c r="X668" s="69"/>
      <c r="Y668" s="69"/>
      <c r="Z668" s="69"/>
      <c r="AA668" s="69"/>
      <c r="AB668" s="69"/>
    </row>
    <row r="669" spans="1:28">
      <c r="A669" s="67"/>
      <c r="B669" s="67"/>
      <c r="C669" s="68"/>
      <c r="F669" s="69"/>
      <c r="G669" s="69"/>
      <c r="H669" s="69"/>
      <c r="I669" s="69"/>
      <c r="J669" s="69"/>
      <c r="K669" s="69"/>
      <c r="L669" s="69"/>
      <c r="M669" s="69"/>
      <c r="N669" s="69"/>
      <c r="O669" s="69"/>
      <c r="P669" s="69"/>
      <c r="Q669" s="69"/>
      <c r="R669" s="69"/>
      <c r="S669" s="69"/>
      <c r="T669" s="69"/>
      <c r="U669" s="69"/>
      <c r="V669" s="69"/>
      <c r="W669" s="81"/>
      <c r="X669" s="69"/>
      <c r="Y669" s="69"/>
      <c r="Z669" s="69"/>
      <c r="AA669" s="69"/>
      <c r="AB669" s="69"/>
    </row>
    <row r="670" spans="1:28">
      <c r="A670" s="67"/>
      <c r="B670" s="67"/>
      <c r="C670" s="68"/>
      <c r="F670" s="69"/>
      <c r="G670" s="69"/>
      <c r="H670" s="69"/>
      <c r="I670" s="69"/>
      <c r="J670" s="69"/>
      <c r="K670" s="69"/>
      <c r="L670" s="69"/>
      <c r="M670" s="69"/>
      <c r="N670" s="69"/>
      <c r="O670" s="69"/>
      <c r="P670" s="69"/>
      <c r="Q670" s="69"/>
      <c r="R670" s="69"/>
      <c r="S670" s="69"/>
      <c r="T670" s="69"/>
      <c r="U670" s="69"/>
      <c r="V670" s="69"/>
      <c r="W670" s="81"/>
      <c r="X670" s="69"/>
      <c r="Y670" s="69"/>
      <c r="Z670" s="69"/>
      <c r="AA670" s="69"/>
      <c r="AB670" s="69"/>
    </row>
    <row r="671" spans="1:28">
      <c r="A671" s="67"/>
      <c r="B671" s="67"/>
      <c r="C671" s="68"/>
      <c r="F671" s="69"/>
      <c r="G671" s="69"/>
      <c r="H671" s="69"/>
      <c r="I671" s="69"/>
      <c r="J671" s="69"/>
      <c r="K671" s="69"/>
      <c r="L671" s="69"/>
      <c r="M671" s="69"/>
      <c r="N671" s="69"/>
      <c r="O671" s="69"/>
      <c r="P671" s="69"/>
      <c r="Q671" s="69"/>
      <c r="R671" s="69"/>
      <c r="S671" s="69"/>
      <c r="T671" s="69"/>
      <c r="U671" s="69"/>
      <c r="V671" s="69"/>
      <c r="W671" s="81"/>
      <c r="X671" s="69"/>
      <c r="Y671" s="69"/>
      <c r="Z671" s="69"/>
      <c r="AA671" s="69"/>
      <c r="AB671" s="69"/>
    </row>
    <row r="672" spans="1:28">
      <c r="A672" s="67"/>
      <c r="B672" s="67"/>
      <c r="C672" s="68"/>
      <c r="F672" s="69"/>
      <c r="G672" s="69"/>
      <c r="H672" s="69"/>
      <c r="I672" s="69"/>
      <c r="J672" s="69"/>
      <c r="K672" s="69"/>
      <c r="L672" s="69"/>
      <c r="M672" s="69"/>
      <c r="N672" s="69"/>
      <c r="O672" s="69"/>
      <c r="P672" s="69"/>
      <c r="Q672" s="69"/>
      <c r="R672" s="69"/>
      <c r="S672" s="69"/>
      <c r="T672" s="69"/>
      <c r="U672" s="69"/>
      <c r="V672" s="69"/>
      <c r="W672" s="81"/>
      <c r="X672" s="69"/>
      <c r="Y672" s="69"/>
      <c r="Z672" s="69"/>
      <c r="AA672" s="69"/>
      <c r="AB672" s="69"/>
    </row>
    <row r="673" spans="1:28">
      <c r="A673" s="67"/>
      <c r="B673" s="67"/>
      <c r="C673" s="68"/>
      <c r="F673" s="69"/>
      <c r="G673" s="69"/>
      <c r="H673" s="69"/>
      <c r="I673" s="69"/>
      <c r="J673" s="69"/>
      <c r="K673" s="69"/>
      <c r="L673" s="69"/>
      <c r="M673" s="69"/>
      <c r="N673" s="69"/>
      <c r="O673" s="69"/>
      <c r="P673" s="69"/>
      <c r="Q673" s="69"/>
      <c r="R673" s="69"/>
      <c r="S673" s="69"/>
      <c r="T673" s="69"/>
      <c r="U673" s="69"/>
      <c r="V673" s="69"/>
      <c r="W673" s="81"/>
      <c r="X673" s="69"/>
      <c r="Y673" s="69"/>
      <c r="Z673" s="69"/>
      <c r="AA673" s="69"/>
      <c r="AB673" s="69"/>
    </row>
    <row r="674" spans="1:28">
      <c r="A674" s="67"/>
      <c r="B674" s="67"/>
      <c r="C674" s="68"/>
      <c r="F674" s="69"/>
      <c r="G674" s="69"/>
      <c r="H674" s="69"/>
      <c r="I674" s="69"/>
      <c r="J674" s="69"/>
      <c r="K674" s="69"/>
      <c r="L674" s="69"/>
      <c r="M674" s="69"/>
      <c r="N674" s="69"/>
      <c r="O674" s="69"/>
      <c r="P674" s="69"/>
      <c r="Q674" s="69"/>
      <c r="R674" s="69"/>
      <c r="S674" s="69"/>
      <c r="T674" s="69"/>
      <c r="U674" s="69"/>
      <c r="V674" s="69"/>
      <c r="W674" s="81"/>
      <c r="X674" s="69"/>
      <c r="Y674" s="69"/>
      <c r="Z674" s="69"/>
      <c r="AA674" s="69"/>
      <c r="AB674" s="69"/>
    </row>
    <row r="675" spans="1:28">
      <c r="A675" s="67"/>
      <c r="B675" s="67"/>
      <c r="C675" s="68"/>
      <c r="F675" s="69"/>
      <c r="G675" s="69"/>
      <c r="H675" s="69"/>
      <c r="I675" s="69"/>
      <c r="J675" s="69"/>
      <c r="K675" s="69"/>
      <c r="L675" s="69"/>
      <c r="M675" s="69"/>
      <c r="N675" s="69"/>
      <c r="O675" s="69"/>
      <c r="P675" s="69"/>
      <c r="Q675" s="69"/>
      <c r="R675" s="69"/>
      <c r="S675" s="69"/>
      <c r="T675" s="69"/>
      <c r="U675" s="69"/>
      <c r="V675" s="69"/>
      <c r="W675" s="81"/>
      <c r="X675" s="69"/>
      <c r="Y675" s="69"/>
      <c r="Z675" s="69"/>
      <c r="AA675" s="69"/>
      <c r="AB675" s="69"/>
    </row>
    <row r="676" spans="1:28">
      <c r="A676" s="67"/>
      <c r="B676" s="67"/>
      <c r="C676" s="68"/>
      <c r="F676" s="69"/>
      <c r="G676" s="69"/>
      <c r="H676" s="69"/>
      <c r="I676" s="69"/>
      <c r="J676" s="69"/>
      <c r="K676" s="69"/>
      <c r="L676" s="69"/>
      <c r="M676" s="69"/>
      <c r="N676" s="69"/>
      <c r="O676" s="69"/>
      <c r="P676" s="69"/>
      <c r="Q676" s="69"/>
      <c r="R676" s="69"/>
      <c r="S676" s="69"/>
      <c r="T676" s="69"/>
      <c r="U676" s="69"/>
      <c r="V676" s="69"/>
      <c r="W676" s="81"/>
      <c r="X676" s="69"/>
      <c r="Y676" s="69"/>
      <c r="Z676" s="69"/>
      <c r="AA676" s="69"/>
      <c r="AB676" s="69"/>
    </row>
    <row r="677" spans="1:28">
      <c r="A677" s="67"/>
      <c r="B677" s="67"/>
      <c r="C677" s="68"/>
      <c r="F677" s="69"/>
      <c r="G677" s="69"/>
      <c r="H677" s="69"/>
      <c r="I677" s="69"/>
      <c r="J677" s="69"/>
      <c r="K677" s="69"/>
      <c r="L677" s="69"/>
      <c r="M677" s="69"/>
      <c r="N677" s="69"/>
      <c r="O677" s="69"/>
      <c r="P677" s="69"/>
      <c r="Q677" s="69"/>
      <c r="R677" s="69"/>
      <c r="S677" s="69"/>
      <c r="T677" s="69"/>
      <c r="U677" s="69"/>
      <c r="V677" s="69"/>
      <c r="W677" s="81"/>
      <c r="X677" s="69"/>
      <c r="Y677" s="69"/>
      <c r="Z677" s="69"/>
      <c r="AA677" s="69"/>
      <c r="AB677" s="69"/>
    </row>
    <row r="678" spans="1:28">
      <c r="A678" s="67"/>
      <c r="B678" s="67"/>
      <c r="C678" s="68"/>
      <c r="F678" s="69"/>
      <c r="G678" s="69"/>
      <c r="H678" s="69"/>
      <c r="I678" s="69"/>
      <c r="J678" s="69"/>
      <c r="K678" s="69"/>
      <c r="L678" s="69"/>
      <c r="M678" s="69"/>
      <c r="N678" s="69"/>
      <c r="O678" s="69"/>
      <c r="P678" s="69"/>
      <c r="Q678" s="69"/>
      <c r="R678" s="69"/>
      <c r="S678" s="69"/>
      <c r="T678" s="69"/>
      <c r="U678" s="69"/>
      <c r="V678" s="69"/>
      <c r="W678" s="81"/>
      <c r="X678" s="69"/>
      <c r="Y678" s="69"/>
      <c r="Z678" s="69"/>
      <c r="AA678" s="69"/>
      <c r="AB678" s="69"/>
    </row>
    <row r="679" spans="1:28">
      <c r="A679" s="67"/>
      <c r="B679" s="67"/>
      <c r="C679" s="68"/>
      <c r="F679" s="69"/>
      <c r="G679" s="69"/>
      <c r="H679" s="69"/>
      <c r="I679" s="69"/>
      <c r="J679" s="69"/>
      <c r="K679" s="69"/>
      <c r="L679" s="69"/>
      <c r="M679" s="69"/>
      <c r="N679" s="69"/>
      <c r="O679" s="69"/>
      <c r="P679" s="69"/>
      <c r="Q679" s="69"/>
      <c r="R679" s="69"/>
      <c r="S679" s="69"/>
      <c r="T679" s="69"/>
      <c r="U679" s="69"/>
      <c r="V679" s="69"/>
      <c r="W679" s="81"/>
      <c r="X679" s="69"/>
      <c r="Y679" s="69"/>
      <c r="Z679" s="69"/>
      <c r="AA679" s="69"/>
      <c r="AB679" s="69"/>
    </row>
    <row r="680" spans="1:28">
      <c r="A680" s="67"/>
      <c r="B680" s="67"/>
      <c r="C680" s="68"/>
      <c r="F680" s="69"/>
      <c r="G680" s="69"/>
      <c r="H680" s="69"/>
      <c r="I680" s="69"/>
      <c r="J680" s="69"/>
      <c r="K680" s="69"/>
      <c r="L680" s="69"/>
      <c r="M680" s="69"/>
      <c r="N680" s="69"/>
      <c r="O680" s="69"/>
      <c r="P680" s="69"/>
      <c r="Q680" s="69"/>
      <c r="R680" s="69"/>
      <c r="S680" s="69"/>
      <c r="T680" s="69"/>
      <c r="U680" s="69"/>
      <c r="V680" s="69"/>
      <c r="W680" s="81"/>
      <c r="X680" s="69"/>
      <c r="Y680" s="69"/>
      <c r="Z680" s="69"/>
      <c r="AA680" s="69"/>
      <c r="AB680" s="69"/>
    </row>
    <row r="681" spans="1:28">
      <c r="A681" s="67"/>
      <c r="B681" s="67"/>
      <c r="C681" s="68"/>
      <c r="F681" s="69"/>
      <c r="G681" s="69"/>
      <c r="H681" s="69"/>
      <c r="I681" s="69"/>
      <c r="J681" s="69"/>
      <c r="K681" s="69"/>
      <c r="L681" s="69"/>
      <c r="M681" s="69"/>
      <c r="N681" s="69"/>
      <c r="O681" s="69"/>
      <c r="P681" s="69"/>
      <c r="Q681" s="69"/>
      <c r="R681" s="69"/>
      <c r="S681" s="69"/>
      <c r="T681" s="69"/>
      <c r="U681" s="69"/>
      <c r="V681" s="69"/>
      <c r="W681" s="81"/>
      <c r="X681" s="69"/>
      <c r="Y681" s="69"/>
      <c r="Z681" s="69"/>
      <c r="AA681" s="69"/>
      <c r="AB681" s="69"/>
    </row>
    <row r="682" spans="1:28">
      <c r="A682" s="67"/>
      <c r="B682" s="67"/>
      <c r="C682" s="68"/>
      <c r="F682" s="69"/>
      <c r="G682" s="69"/>
      <c r="H682" s="69"/>
      <c r="I682" s="69"/>
      <c r="J682" s="69"/>
      <c r="K682" s="69"/>
      <c r="L682" s="69"/>
      <c r="M682" s="69"/>
      <c r="N682" s="69"/>
      <c r="O682" s="69"/>
      <c r="P682" s="69"/>
      <c r="Q682" s="69"/>
      <c r="R682" s="69"/>
      <c r="S682" s="69"/>
      <c r="T682" s="69"/>
      <c r="U682" s="69"/>
      <c r="V682" s="69"/>
      <c r="W682" s="81"/>
      <c r="X682" s="69"/>
      <c r="Y682" s="69"/>
      <c r="Z682" s="69"/>
      <c r="AA682" s="69"/>
      <c r="AB682" s="69"/>
    </row>
    <row r="683" spans="1:28">
      <c r="A683" s="67"/>
      <c r="B683" s="67"/>
      <c r="C683" s="68"/>
      <c r="F683" s="69"/>
      <c r="G683" s="69"/>
      <c r="H683" s="69"/>
      <c r="I683" s="69"/>
      <c r="J683" s="69"/>
      <c r="K683" s="69"/>
      <c r="L683" s="69"/>
      <c r="M683" s="69"/>
      <c r="N683" s="69"/>
      <c r="O683" s="69"/>
      <c r="P683" s="69"/>
      <c r="Q683" s="69"/>
      <c r="R683" s="69"/>
      <c r="S683" s="69"/>
      <c r="T683" s="69"/>
      <c r="U683" s="69"/>
      <c r="V683" s="69"/>
      <c r="W683" s="81"/>
      <c r="X683" s="69"/>
      <c r="Y683" s="69"/>
      <c r="Z683" s="69"/>
      <c r="AA683" s="69"/>
      <c r="AB683" s="69"/>
    </row>
    <row r="684" spans="1:28">
      <c r="A684" s="67"/>
      <c r="B684" s="67"/>
      <c r="C684" s="68"/>
      <c r="F684" s="69"/>
      <c r="G684" s="69"/>
      <c r="H684" s="69"/>
      <c r="I684" s="69"/>
      <c r="J684" s="69"/>
      <c r="K684" s="69"/>
      <c r="L684" s="69"/>
      <c r="M684" s="69"/>
      <c r="N684" s="69"/>
      <c r="O684" s="69"/>
      <c r="P684" s="69"/>
      <c r="Q684" s="69"/>
      <c r="R684" s="69"/>
      <c r="S684" s="69"/>
      <c r="T684" s="69"/>
      <c r="U684" s="69"/>
      <c r="V684" s="69"/>
      <c r="W684" s="81"/>
      <c r="X684" s="69"/>
      <c r="Y684" s="69"/>
      <c r="Z684" s="69"/>
      <c r="AA684" s="69"/>
      <c r="AB684" s="69"/>
    </row>
    <row r="685" spans="1:28">
      <c r="A685" s="67"/>
      <c r="B685" s="67"/>
      <c r="C685" s="68"/>
      <c r="F685" s="69"/>
      <c r="G685" s="69"/>
      <c r="H685" s="69"/>
      <c r="I685" s="69"/>
      <c r="J685" s="69"/>
      <c r="K685" s="69"/>
      <c r="L685" s="69"/>
      <c r="M685" s="69"/>
      <c r="N685" s="69"/>
      <c r="O685" s="69"/>
      <c r="P685" s="69"/>
      <c r="Q685" s="69"/>
      <c r="R685" s="69"/>
      <c r="S685" s="69"/>
      <c r="T685" s="69"/>
      <c r="U685" s="69"/>
      <c r="V685" s="69"/>
      <c r="W685" s="81"/>
      <c r="X685" s="69"/>
      <c r="Y685" s="69"/>
      <c r="Z685" s="69"/>
      <c r="AA685" s="69"/>
      <c r="AB685" s="69"/>
    </row>
    <row r="686" spans="1:28">
      <c r="A686" s="67"/>
      <c r="B686" s="67"/>
      <c r="C686" s="68"/>
      <c r="F686" s="69"/>
      <c r="G686" s="69"/>
      <c r="H686" s="69"/>
      <c r="I686" s="69"/>
      <c r="J686" s="69"/>
      <c r="K686" s="69"/>
      <c r="L686" s="69"/>
      <c r="M686" s="69"/>
      <c r="N686" s="69"/>
      <c r="O686" s="69"/>
      <c r="P686" s="69"/>
      <c r="Q686" s="69"/>
      <c r="R686" s="69"/>
      <c r="S686" s="69"/>
      <c r="T686" s="69"/>
      <c r="U686" s="69"/>
      <c r="V686" s="69"/>
      <c r="W686" s="81"/>
      <c r="X686" s="69"/>
      <c r="Y686" s="69"/>
      <c r="Z686" s="69"/>
      <c r="AA686" s="69"/>
      <c r="AB686" s="69"/>
    </row>
    <row r="687" spans="1:28">
      <c r="A687" s="67"/>
      <c r="B687" s="67"/>
      <c r="C687" s="68"/>
      <c r="F687" s="69"/>
      <c r="G687" s="69"/>
      <c r="H687" s="69"/>
      <c r="I687" s="69"/>
      <c r="J687" s="69"/>
      <c r="K687" s="69"/>
      <c r="L687" s="69"/>
      <c r="M687" s="69"/>
      <c r="N687" s="69"/>
      <c r="O687" s="69"/>
      <c r="P687" s="69"/>
      <c r="Q687" s="69"/>
      <c r="R687" s="69"/>
      <c r="S687" s="69"/>
      <c r="T687" s="69"/>
      <c r="U687" s="69"/>
      <c r="V687" s="69"/>
      <c r="W687" s="81"/>
      <c r="X687" s="69"/>
      <c r="Y687" s="69"/>
      <c r="Z687" s="69"/>
      <c r="AA687" s="69"/>
      <c r="AB687" s="69"/>
    </row>
    <row r="688" spans="1:28">
      <c r="A688" s="67"/>
      <c r="B688" s="67"/>
      <c r="C688" s="68"/>
      <c r="F688" s="69"/>
      <c r="G688" s="69"/>
      <c r="H688" s="69"/>
      <c r="I688" s="69"/>
      <c r="J688" s="69"/>
      <c r="K688" s="69"/>
      <c r="L688" s="69"/>
      <c r="M688" s="69"/>
      <c r="N688" s="69"/>
      <c r="O688" s="69"/>
      <c r="P688" s="69"/>
      <c r="Q688" s="69"/>
      <c r="R688" s="69"/>
      <c r="S688" s="69"/>
      <c r="T688" s="69"/>
      <c r="U688" s="69"/>
      <c r="V688" s="69"/>
      <c r="W688" s="81"/>
      <c r="X688" s="69"/>
      <c r="Y688" s="69"/>
      <c r="Z688" s="69"/>
      <c r="AA688" s="69"/>
      <c r="AB688" s="69"/>
    </row>
    <row r="689" spans="1:28">
      <c r="A689" s="67"/>
      <c r="B689" s="67"/>
      <c r="C689" s="68"/>
      <c r="F689" s="69"/>
      <c r="G689" s="69"/>
      <c r="H689" s="69"/>
      <c r="I689" s="69"/>
      <c r="J689" s="69"/>
      <c r="K689" s="69"/>
      <c r="L689" s="69"/>
      <c r="M689" s="69"/>
      <c r="N689" s="69"/>
      <c r="O689" s="69"/>
      <c r="P689" s="69"/>
      <c r="Q689" s="69"/>
      <c r="R689" s="69"/>
      <c r="S689" s="69"/>
      <c r="T689" s="69"/>
      <c r="U689" s="69"/>
      <c r="V689" s="69"/>
      <c r="W689" s="81"/>
      <c r="X689" s="69"/>
      <c r="Y689" s="69"/>
      <c r="Z689" s="69"/>
      <c r="AA689" s="69"/>
      <c r="AB689" s="69"/>
    </row>
    <row r="690" spans="1:28">
      <c r="A690" s="67"/>
      <c r="B690" s="67"/>
      <c r="C690" s="68"/>
      <c r="F690" s="69"/>
      <c r="G690" s="69"/>
      <c r="H690" s="69"/>
      <c r="I690" s="69"/>
      <c r="J690" s="69"/>
      <c r="K690" s="69"/>
      <c r="L690" s="69"/>
      <c r="M690" s="69"/>
      <c r="N690" s="69"/>
      <c r="O690" s="69"/>
      <c r="P690" s="69"/>
      <c r="Q690" s="69"/>
      <c r="R690" s="69"/>
      <c r="S690" s="69"/>
      <c r="T690" s="69"/>
      <c r="U690" s="69"/>
      <c r="V690" s="69"/>
      <c r="W690" s="81"/>
      <c r="X690" s="69"/>
      <c r="Y690" s="69"/>
      <c r="Z690" s="69"/>
      <c r="AA690" s="69"/>
      <c r="AB690" s="69"/>
    </row>
    <row r="691" spans="1:28">
      <c r="A691" s="67"/>
      <c r="B691" s="67"/>
      <c r="C691" s="68"/>
      <c r="F691" s="69"/>
      <c r="G691" s="69"/>
      <c r="H691" s="69"/>
      <c r="I691" s="69"/>
      <c r="J691" s="69"/>
      <c r="K691" s="69"/>
      <c r="L691" s="69"/>
      <c r="M691" s="69"/>
      <c r="N691" s="69"/>
      <c r="O691" s="69"/>
      <c r="P691" s="69"/>
      <c r="Q691" s="69"/>
      <c r="R691" s="69"/>
      <c r="S691" s="69"/>
      <c r="T691" s="69"/>
      <c r="U691" s="69"/>
      <c r="V691" s="69"/>
      <c r="W691" s="81"/>
      <c r="X691" s="69"/>
      <c r="Y691" s="69"/>
      <c r="Z691" s="69"/>
      <c r="AA691" s="69"/>
      <c r="AB691" s="69"/>
    </row>
    <row r="692" spans="1:28">
      <c r="A692" s="67"/>
      <c r="B692" s="67"/>
      <c r="C692" s="68"/>
      <c r="F692" s="69"/>
      <c r="G692" s="69"/>
      <c r="H692" s="69"/>
      <c r="I692" s="69"/>
      <c r="J692" s="69"/>
      <c r="K692" s="69"/>
      <c r="L692" s="69"/>
      <c r="M692" s="69"/>
      <c r="N692" s="69"/>
      <c r="O692" s="69"/>
      <c r="P692" s="69"/>
      <c r="Q692" s="69"/>
      <c r="R692" s="69"/>
      <c r="S692" s="69"/>
      <c r="T692" s="69"/>
      <c r="U692" s="69"/>
      <c r="V692" s="69"/>
      <c r="W692" s="81"/>
      <c r="X692" s="69"/>
      <c r="Y692" s="69"/>
      <c r="Z692" s="69"/>
      <c r="AA692" s="69"/>
      <c r="AB692" s="69"/>
    </row>
    <row r="693" spans="1:28">
      <c r="A693" s="67"/>
      <c r="B693" s="67"/>
      <c r="C693" s="68"/>
      <c r="F693" s="69"/>
      <c r="G693" s="69"/>
      <c r="H693" s="69"/>
      <c r="I693" s="69"/>
      <c r="J693" s="69"/>
      <c r="K693" s="69"/>
      <c r="L693" s="69"/>
      <c r="M693" s="69"/>
      <c r="N693" s="69"/>
      <c r="O693" s="69"/>
      <c r="P693" s="69"/>
      <c r="Q693" s="69"/>
      <c r="R693" s="69"/>
      <c r="S693" s="69"/>
      <c r="T693" s="69"/>
      <c r="U693" s="69"/>
      <c r="V693" s="69"/>
      <c r="W693" s="81"/>
      <c r="X693" s="69"/>
      <c r="Y693" s="69"/>
      <c r="Z693" s="69"/>
      <c r="AA693" s="69"/>
      <c r="AB693" s="69"/>
    </row>
    <row r="694" spans="1:28">
      <c r="A694" s="67"/>
      <c r="B694" s="67"/>
      <c r="C694" s="68"/>
      <c r="F694" s="69"/>
      <c r="G694" s="69"/>
      <c r="H694" s="69"/>
      <c r="I694" s="69"/>
      <c r="J694" s="69"/>
      <c r="K694" s="69"/>
      <c r="L694" s="69"/>
      <c r="M694" s="69"/>
      <c r="N694" s="69"/>
      <c r="O694" s="69"/>
      <c r="P694" s="69"/>
      <c r="Q694" s="69"/>
      <c r="R694" s="69"/>
      <c r="S694" s="69"/>
      <c r="T694" s="69"/>
      <c r="U694" s="69"/>
      <c r="V694" s="69"/>
      <c r="W694" s="81"/>
      <c r="X694" s="69"/>
      <c r="Y694" s="69"/>
      <c r="Z694" s="69"/>
      <c r="AA694" s="69"/>
      <c r="AB694" s="69"/>
    </row>
    <row r="695" spans="1:28">
      <c r="A695" s="67"/>
      <c r="B695" s="67"/>
      <c r="C695" s="68"/>
      <c r="F695" s="69"/>
      <c r="G695" s="69"/>
      <c r="H695" s="69"/>
      <c r="I695" s="69"/>
      <c r="J695" s="69"/>
      <c r="K695" s="69"/>
      <c r="L695" s="69"/>
      <c r="M695" s="69"/>
      <c r="N695" s="69"/>
      <c r="O695" s="69"/>
      <c r="P695" s="69"/>
      <c r="Q695" s="69"/>
      <c r="R695" s="69"/>
      <c r="S695" s="69"/>
      <c r="T695" s="69"/>
      <c r="U695" s="69"/>
      <c r="V695" s="69"/>
      <c r="W695" s="81"/>
      <c r="X695" s="69"/>
      <c r="Y695" s="69"/>
      <c r="Z695" s="69"/>
      <c r="AA695" s="69"/>
      <c r="AB695" s="69"/>
    </row>
    <row r="696" spans="1:28">
      <c r="A696" s="67"/>
      <c r="B696" s="67"/>
      <c r="C696" s="68"/>
      <c r="F696" s="69"/>
      <c r="G696" s="69"/>
      <c r="H696" s="69"/>
      <c r="I696" s="69"/>
      <c r="J696" s="69"/>
      <c r="K696" s="69"/>
      <c r="L696" s="69"/>
      <c r="M696" s="69"/>
      <c r="N696" s="69"/>
      <c r="O696" s="69"/>
      <c r="P696" s="69"/>
      <c r="Q696" s="69"/>
      <c r="R696" s="69"/>
      <c r="S696" s="69"/>
      <c r="T696" s="69"/>
      <c r="U696" s="69"/>
      <c r="V696" s="69"/>
      <c r="W696" s="81"/>
      <c r="X696" s="69"/>
      <c r="Y696" s="69"/>
      <c r="Z696" s="69"/>
      <c r="AA696" s="69"/>
      <c r="AB696" s="69"/>
    </row>
    <row r="697" spans="1:28">
      <c r="A697" s="67"/>
      <c r="B697" s="67"/>
      <c r="C697" s="68"/>
      <c r="F697" s="69"/>
      <c r="G697" s="69"/>
      <c r="H697" s="69"/>
      <c r="I697" s="69"/>
      <c r="J697" s="69"/>
      <c r="K697" s="69"/>
      <c r="L697" s="69"/>
      <c r="M697" s="69"/>
      <c r="N697" s="69"/>
      <c r="O697" s="69"/>
      <c r="P697" s="69"/>
      <c r="Q697" s="69"/>
      <c r="R697" s="69"/>
      <c r="S697" s="69"/>
      <c r="T697" s="69"/>
      <c r="U697" s="69"/>
      <c r="V697" s="69"/>
      <c r="W697" s="81"/>
      <c r="X697" s="69"/>
      <c r="Y697" s="69"/>
      <c r="Z697" s="69"/>
      <c r="AA697" s="69"/>
      <c r="AB697" s="69"/>
    </row>
    <row r="698" spans="1:28">
      <c r="A698" s="67"/>
      <c r="B698" s="67"/>
      <c r="C698" s="68"/>
      <c r="F698" s="69"/>
      <c r="G698" s="69"/>
      <c r="H698" s="69"/>
      <c r="I698" s="69"/>
      <c r="J698" s="69"/>
      <c r="K698" s="69"/>
      <c r="L698" s="69"/>
      <c r="M698" s="69"/>
      <c r="N698" s="69"/>
      <c r="O698" s="69"/>
      <c r="P698" s="69"/>
      <c r="Q698" s="69"/>
      <c r="R698" s="69"/>
      <c r="S698" s="69"/>
      <c r="T698" s="69"/>
      <c r="U698" s="69"/>
      <c r="V698" s="69"/>
      <c r="W698" s="81"/>
      <c r="X698" s="69"/>
      <c r="Y698" s="69"/>
      <c r="Z698" s="69"/>
      <c r="AA698" s="69"/>
      <c r="AB698" s="69"/>
    </row>
    <row r="699" spans="1:28">
      <c r="A699" s="67"/>
      <c r="B699" s="67"/>
      <c r="C699" s="68"/>
      <c r="F699" s="69"/>
      <c r="G699" s="69"/>
      <c r="H699" s="69"/>
      <c r="I699" s="69"/>
      <c r="J699" s="69"/>
      <c r="K699" s="69"/>
      <c r="L699" s="69"/>
      <c r="M699" s="69"/>
      <c r="N699" s="69"/>
      <c r="O699" s="69"/>
      <c r="P699" s="69"/>
      <c r="Q699" s="69"/>
      <c r="R699" s="69"/>
      <c r="S699" s="69"/>
      <c r="T699" s="69"/>
      <c r="U699" s="69"/>
      <c r="V699" s="69"/>
      <c r="W699" s="81"/>
      <c r="X699" s="69"/>
      <c r="Y699" s="69"/>
      <c r="Z699" s="69"/>
      <c r="AA699" s="69"/>
      <c r="AB699" s="69"/>
    </row>
    <row r="700" spans="1:28">
      <c r="A700" s="67"/>
      <c r="B700" s="67"/>
      <c r="C700" s="68"/>
      <c r="F700" s="69"/>
      <c r="G700" s="69"/>
      <c r="H700" s="69"/>
      <c r="I700" s="69"/>
      <c r="J700" s="69"/>
      <c r="K700" s="69"/>
      <c r="L700" s="69"/>
      <c r="M700" s="69"/>
      <c r="N700" s="69"/>
      <c r="O700" s="69"/>
      <c r="P700" s="69"/>
      <c r="Q700" s="69"/>
      <c r="R700" s="69"/>
      <c r="S700" s="69"/>
      <c r="T700" s="69"/>
      <c r="U700" s="69"/>
      <c r="V700" s="69"/>
      <c r="W700" s="81"/>
      <c r="X700" s="69"/>
      <c r="Y700" s="69"/>
      <c r="Z700" s="69"/>
      <c r="AA700" s="69"/>
      <c r="AB700" s="69"/>
    </row>
    <row r="701" spans="1:28">
      <c r="A701" s="67"/>
      <c r="B701" s="67"/>
      <c r="C701" s="68"/>
      <c r="F701" s="69"/>
      <c r="G701" s="69"/>
      <c r="H701" s="69"/>
      <c r="I701" s="69"/>
      <c r="J701" s="69"/>
      <c r="K701" s="69"/>
      <c r="L701" s="69"/>
      <c r="M701" s="69"/>
      <c r="N701" s="69"/>
      <c r="O701" s="69"/>
      <c r="P701" s="69"/>
      <c r="Q701" s="69"/>
      <c r="R701" s="69"/>
      <c r="S701" s="69"/>
      <c r="T701" s="69"/>
      <c r="U701" s="69"/>
      <c r="V701" s="69"/>
      <c r="W701" s="81"/>
      <c r="X701" s="69"/>
      <c r="Y701" s="69"/>
      <c r="Z701" s="69"/>
      <c r="AA701" s="69"/>
      <c r="AB701" s="69"/>
    </row>
    <row r="702" spans="1:28">
      <c r="A702" s="67"/>
      <c r="B702" s="67"/>
      <c r="C702" s="68"/>
      <c r="F702" s="69"/>
      <c r="G702" s="69"/>
      <c r="H702" s="69"/>
      <c r="I702" s="69"/>
      <c r="J702" s="69"/>
      <c r="K702" s="69"/>
      <c r="L702" s="69"/>
      <c r="M702" s="69"/>
      <c r="N702" s="69"/>
      <c r="O702" s="69"/>
      <c r="P702" s="69"/>
      <c r="Q702" s="69"/>
      <c r="R702" s="69"/>
      <c r="S702" s="69"/>
      <c r="T702" s="69"/>
      <c r="U702" s="69"/>
      <c r="V702" s="69"/>
      <c r="W702" s="81"/>
      <c r="X702" s="69"/>
      <c r="Y702" s="69"/>
      <c r="Z702" s="69"/>
      <c r="AA702" s="69"/>
      <c r="AB702" s="69"/>
    </row>
    <row r="703" spans="1:28">
      <c r="A703" s="67"/>
      <c r="B703" s="67"/>
      <c r="C703" s="68"/>
      <c r="F703" s="69"/>
      <c r="G703" s="69"/>
      <c r="H703" s="69"/>
      <c r="I703" s="69"/>
      <c r="J703" s="69"/>
      <c r="K703" s="69"/>
      <c r="L703" s="69"/>
      <c r="M703" s="69"/>
      <c r="N703" s="69"/>
      <c r="O703" s="69"/>
      <c r="P703" s="69"/>
      <c r="Q703" s="69"/>
      <c r="R703" s="69"/>
      <c r="S703" s="69"/>
      <c r="T703" s="69"/>
      <c r="U703" s="69"/>
      <c r="V703" s="69"/>
      <c r="W703" s="81"/>
      <c r="X703" s="69"/>
      <c r="Y703" s="69"/>
      <c r="Z703" s="69"/>
      <c r="AA703" s="69"/>
      <c r="AB703" s="69"/>
    </row>
    <row r="704" spans="1:28">
      <c r="A704" s="67"/>
      <c r="B704" s="67"/>
      <c r="C704" s="68"/>
      <c r="F704" s="69"/>
      <c r="G704" s="69"/>
      <c r="H704" s="69"/>
      <c r="I704" s="69"/>
      <c r="J704" s="69"/>
      <c r="K704" s="69"/>
      <c r="L704" s="69"/>
      <c r="M704" s="69"/>
      <c r="N704" s="69"/>
      <c r="O704" s="69"/>
      <c r="P704" s="69"/>
      <c r="Q704" s="69"/>
      <c r="R704" s="69"/>
      <c r="S704" s="69"/>
      <c r="T704" s="69"/>
      <c r="U704" s="69"/>
      <c r="V704" s="69"/>
      <c r="W704" s="81"/>
      <c r="X704" s="69"/>
      <c r="Y704" s="69"/>
      <c r="Z704" s="69"/>
      <c r="AA704" s="69"/>
      <c r="AB704" s="69"/>
    </row>
    <row r="705" spans="1:28">
      <c r="A705" s="67"/>
      <c r="B705" s="67"/>
      <c r="C705" s="68"/>
      <c r="F705" s="69"/>
      <c r="G705" s="69"/>
      <c r="H705" s="69"/>
      <c r="I705" s="69"/>
      <c r="J705" s="69"/>
      <c r="K705" s="69"/>
      <c r="L705" s="69"/>
      <c r="M705" s="69"/>
      <c r="N705" s="69"/>
      <c r="O705" s="69"/>
      <c r="P705" s="69"/>
      <c r="Q705" s="69"/>
      <c r="R705" s="69"/>
      <c r="S705" s="69"/>
      <c r="T705" s="69"/>
      <c r="U705" s="69"/>
      <c r="V705" s="69"/>
      <c r="W705" s="81"/>
      <c r="X705" s="69"/>
      <c r="Y705" s="69"/>
      <c r="Z705" s="69"/>
      <c r="AA705" s="69"/>
      <c r="AB705" s="69"/>
    </row>
    <row r="706" spans="1:28">
      <c r="A706" s="67"/>
      <c r="B706" s="67"/>
      <c r="C706" s="68"/>
      <c r="F706" s="69"/>
      <c r="G706" s="69"/>
      <c r="H706" s="69"/>
      <c r="I706" s="69"/>
      <c r="J706" s="69"/>
      <c r="K706" s="69"/>
      <c r="L706" s="69"/>
      <c r="M706" s="69"/>
      <c r="N706" s="69"/>
      <c r="O706" s="69"/>
      <c r="P706" s="69"/>
      <c r="Q706" s="69"/>
      <c r="R706" s="69"/>
      <c r="S706" s="69"/>
      <c r="T706" s="69"/>
      <c r="U706" s="69"/>
      <c r="V706" s="69"/>
      <c r="W706" s="81"/>
      <c r="X706" s="69"/>
      <c r="Y706" s="69"/>
      <c r="Z706" s="69"/>
      <c r="AA706" s="69"/>
      <c r="AB706" s="69"/>
    </row>
    <row r="707" spans="1:28">
      <c r="A707" s="67"/>
      <c r="B707" s="67"/>
      <c r="C707" s="68"/>
      <c r="F707" s="69"/>
      <c r="G707" s="69"/>
      <c r="H707" s="69"/>
      <c r="I707" s="69"/>
      <c r="J707" s="69"/>
      <c r="K707" s="69"/>
      <c r="L707" s="69"/>
      <c r="M707" s="69"/>
      <c r="N707" s="69"/>
      <c r="O707" s="69"/>
      <c r="P707" s="69"/>
      <c r="Q707" s="69"/>
      <c r="R707" s="69"/>
      <c r="S707" s="69"/>
      <c r="T707" s="69"/>
      <c r="U707" s="69"/>
      <c r="V707" s="69"/>
      <c r="W707" s="81"/>
      <c r="X707" s="69"/>
      <c r="Y707" s="69"/>
      <c r="Z707" s="69"/>
      <c r="AA707" s="69"/>
      <c r="AB707" s="69"/>
    </row>
    <row r="708" spans="1:28">
      <c r="A708" s="67"/>
      <c r="B708" s="67"/>
      <c r="C708" s="68"/>
      <c r="F708" s="69"/>
      <c r="G708" s="69"/>
      <c r="H708" s="69"/>
      <c r="I708" s="69"/>
      <c r="J708" s="69"/>
      <c r="K708" s="69"/>
      <c r="L708" s="69"/>
      <c r="M708" s="69"/>
      <c r="N708" s="69"/>
      <c r="O708" s="69"/>
      <c r="P708" s="69"/>
      <c r="Q708" s="69"/>
      <c r="R708" s="69"/>
      <c r="S708" s="69"/>
      <c r="T708" s="69"/>
      <c r="U708" s="69"/>
      <c r="V708" s="69"/>
      <c r="W708" s="81"/>
      <c r="X708" s="69"/>
      <c r="Y708" s="69"/>
      <c r="Z708" s="69"/>
      <c r="AA708" s="69"/>
      <c r="AB708" s="69"/>
    </row>
    <row r="709" spans="1:28">
      <c r="A709" s="67"/>
      <c r="B709" s="67"/>
      <c r="C709" s="68"/>
      <c r="F709" s="69"/>
      <c r="G709" s="69"/>
      <c r="H709" s="69"/>
      <c r="I709" s="69"/>
      <c r="J709" s="69"/>
      <c r="K709" s="69"/>
      <c r="L709" s="69"/>
      <c r="M709" s="69"/>
      <c r="N709" s="69"/>
      <c r="O709" s="69"/>
      <c r="P709" s="69"/>
      <c r="Q709" s="69"/>
      <c r="R709" s="69"/>
      <c r="S709" s="69"/>
      <c r="T709" s="69"/>
      <c r="U709" s="69"/>
      <c r="V709" s="69"/>
      <c r="W709" s="81"/>
      <c r="X709" s="69"/>
      <c r="Y709" s="69"/>
      <c r="Z709" s="69"/>
      <c r="AA709" s="69"/>
      <c r="AB709" s="69"/>
    </row>
    <row r="710" spans="1:28">
      <c r="A710" s="67"/>
      <c r="B710" s="67"/>
      <c r="C710" s="68"/>
      <c r="F710" s="69"/>
      <c r="G710" s="69"/>
      <c r="H710" s="69"/>
      <c r="I710" s="69"/>
      <c r="J710" s="69"/>
      <c r="K710" s="69"/>
      <c r="L710" s="69"/>
      <c r="M710" s="69"/>
      <c r="N710" s="69"/>
      <c r="O710" s="69"/>
      <c r="P710" s="69"/>
      <c r="Q710" s="69"/>
      <c r="R710" s="69"/>
      <c r="S710" s="69"/>
      <c r="T710" s="69"/>
      <c r="U710" s="69"/>
      <c r="V710" s="69"/>
      <c r="W710" s="81"/>
      <c r="X710" s="69"/>
      <c r="Y710" s="69"/>
      <c r="Z710" s="69"/>
      <c r="AA710" s="69"/>
      <c r="AB710" s="69"/>
    </row>
    <row r="711" spans="1:28">
      <c r="A711" s="67"/>
      <c r="B711" s="67"/>
      <c r="C711" s="68"/>
      <c r="F711" s="69"/>
      <c r="G711" s="69"/>
      <c r="H711" s="69"/>
      <c r="I711" s="69"/>
      <c r="J711" s="69"/>
      <c r="K711" s="69"/>
      <c r="L711" s="69"/>
      <c r="M711" s="69"/>
      <c r="N711" s="69"/>
      <c r="O711" s="69"/>
      <c r="P711" s="69"/>
      <c r="Q711" s="69"/>
      <c r="R711" s="69"/>
      <c r="S711" s="69"/>
      <c r="T711" s="69"/>
      <c r="U711" s="69"/>
      <c r="V711" s="69"/>
      <c r="W711" s="81"/>
      <c r="X711" s="69"/>
      <c r="Y711" s="69"/>
      <c r="Z711" s="69"/>
      <c r="AA711" s="69"/>
      <c r="AB711" s="69"/>
    </row>
    <row r="712" spans="1:28">
      <c r="A712" s="67"/>
      <c r="B712" s="67"/>
      <c r="C712" s="68"/>
      <c r="F712" s="69"/>
      <c r="G712" s="69"/>
      <c r="H712" s="69"/>
      <c r="I712" s="69"/>
      <c r="J712" s="69"/>
      <c r="K712" s="69"/>
      <c r="L712" s="69"/>
      <c r="M712" s="69"/>
      <c r="N712" s="69"/>
      <c r="O712" s="69"/>
      <c r="P712" s="69"/>
      <c r="Q712" s="69"/>
      <c r="R712" s="69"/>
      <c r="S712" s="69"/>
      <c r="T712" s="69"/>
      <c r="U712" s="69"/>
      <c r="V712" s="69"/>
      <c r="W712" s="81"/>
      <c r="X712" s="69"/>
      <c r="Y712" s="69"/>
      <c r="Z712" s="69"/>
      <c r="AA712" s="69"/>
      <c r="AB712" s="69"/>
    </row>
    <row r="713" spans="1:28">
      <c r="A713" s="67"/>
      <c r="B713" s="67"/>
      <c r="C713" s="68"/>
      <c r="F713" s="69"/>
      <c r="G713" s="69"/>
      <c r="H713" s="69"/>
      <c r="I713" s="69"/>
      <c r="J713" s="69"/>
      <c r="K713" s="69"/>
      <c r="L713" s="69"/>
      <c r="M713" s="69"/>
      <c r="N713" s="69"/>
      <c r="O713" s="69"/>
      <c r="P713" s="69"/>
      <c r="Q713" s="69"/>
      <c r="R713" s="69"/>
      <c r="S713" s="69"/>
      <c r="T713" s="69"/>
      <c r="U713" s="69"/>
      <c r="V713" s="69"/>
      <c r="W713" s="81"/>
      <c r="X713" s="69"/>
      <c r="Y713" s="69"/>
      <c r="Z713" s="69"/>
      <c r="AA713" s="69"/>
      <c r="AB713" s="69"/>
    </row>
    <row r="714" spans="1:28">
      <c r="A714" s="67"/>
      <c r="B714" s="67"/>
      <c r="C714" s="68"/>
      <c r="F714" s="69"/>
      <c r="G714" s="69"/>
      <c r="H714" s="69"/>
      <c r="I714" s="69"/>
      <c r="J714" s="69"/>
      <c r="K714" s="69"/>
      <c r="L714" s="69"/>
      <c r="M714" s="69"/>
      <c r="N714" s="69"/>
      <c r="O714" s="69"/>
      <c r="P714" s="69"/>
      <c r="Q714" s="69"/>
      <c r="R714" s="69"/>
      <c r="S714" s="69"/>
      <c r="T714" s="69"/>
      <c r="U714" s="69"/>
      <c r="V714" s="69"/>
      <c r="W714" s="81"/>
      <c r="X714" s="69"/>
      <c r="Y714" s="69"/>
      <c r="Z714" s="69"/>
      <c r="AA714" s="69"/>
      <c r="AB714" s="69"/>
    </row>
    <row r="715" spans="1:28">
      <c r="A715" s="67"/>
      <c r="B715" s="67"/>
      <c r="C715" s="68"/>
      <c r="F715" s="69"/>
      <c r="G715" s="69"/>
      <c r="H715" s="69"/>
      <c r="I715" s="69"/>
      <c r="J715" s="69"/>
      <c r="K715" s="69"/>
      <c r="L715" s="69"/>
      <c r="M715" s="69"/>
      <c r="N715" s="69"/>
      <c r="O715" s="69"/>
      <c r="P715" s="69"/>
      <c r="Q715" s="69"/>
      <c r="R715" s="69"/>
      <c r="S715" s="69"/>
      <c r="T715" s="69"/>
      <c r="U715" s="69"/>
      <c r="V715" s="69"/>
      <c r="W715" s="81"/>
      <c r="X715" s="69"/>
      <c r="Y715" s="69"/>
      <c r="Z715" s="69"/>
      <c r="AA715" s="69"/>
      <c r="AB715" s="69"/>
    </row>
    <row r="716" spans="1:28">
      <c r="A716" s="67"/>
      <c r="B716" s="67"/>
      <c r="C716" s="68"/>
      <c r="F716" s="69"/>
      <c r="G716" s="69"/>
      <c r="H716" s="69"/>
      <c r="I716" s="69"/>
      <c r="J716" s="69"/>
      <c r="K716" s="69"/>
      <c r="L716" s="69"/>
      <c r="M716" s="69"/>
      <c r="N716" s="69"/>
      <c r="O716" s="69"/>
      <c r="P716" s="69"/>
      <c r="Q716" s="69"/>
      <c r="R716" s="69"/>
      <c r="S716" s="69"/>
      <c r="T716" s="69"/>
      <c r="U716" s="69"/>
      <c r="V716" s="69"/>
      <c r="W716" s="81"/>
      <c r="X716" s="69"/>
      <c r="Y716" s="69"/>
      <c r="Z716" s="69"/>
      <c r="AA716" s="69"/>
      <c r="AB716" s="69"/>
    </row>
    <row r="717" spans="1:28">
      <c r="A717" s="67"/>
      <c r="B717" s="67"/>
      <c r="C717" s="68"/>
      <c r="F717" s="69"/>
      <c r="G717" s="69"/>
      <c r="H717" s="69"/>
      <c r="I717" s="69"/>
      <c r="J717" s="69"/>
      <c r="K717" s="69"/>
      <c r="L717" s="69"/>
      <c r="M717" s="69"/>
      <c r="N717" s="69"/>
      <c r="O717" s="69"/>
      <c r="P717" s="69"/>
      <c r="Q717" s="69"/>
      <c r="R717" s="69"/>
      <c r="S717" s="69"/>
      <c r="T717" s="69"/>
      <c r="U717" s="69"/>
      <c r="V717" s="69"/>
      <c r="W717" s="81"/>
      <c r="X717" s="69"/>
      <c r="Y717" s="69"/>
      <c r="Z717" s="69"/>
      <c r="AA717" s="69"/>
      <c r="AB717" s="69"/>
    </row>
    <row r="718" spans="1:28">
      <c r="A718" s="67"/>
      <c r="B718" s="67"/>
      <c r="C718" s="68"/>
      <c r="F718" s="69"/>
      <c r="G718" s="69"/>
      <c r="H718" s="69"/>
      <c r="I718" s="69"/>
      <c r="J718" s="69"/>
      <c r="K718" s="69"/>
      <c r="L718" s="69"/>
      <c r="M718" s="69"/>
      <c r="N718" s="69"/>
      <c r="O718" s="69"/>
      <c r="P718" s="69"/>
      <c r="Q718" s="69"/>
      <c r="R718" s="69"/>
      <c r="S718" s="69"/>
      <c r="T718" s="69"/>
      <c r="U718" s="69"/>
      <c r="V718" s="69"/>
      <c r="W718" s="81"/>
      <c r="X718" s="69"/>
      <c r="Y718" s="69"/>
      <c r="Z718" s="69"/>
      <c r="AA718" s="69"/>
      <c r="AB718" s="69"/>
    </row>
    <row r="719" spans="1:28">
      <c r="A719" s="67"/>
      <c r="B719" s="67"/>
      <c r="C719" s="68"/>
      <c r="F719" s="69"/>
      <c r="G719" s="69"/>
      <c r="H719" s="69"/>
      <c r="I719" s="69"/>
      <c r="J719" s="69"/>
      <c r="K719" s="69"/>
      <c r="L719" s="69"/>
      <c r="M719" s="69"/>
      <c r="N719" s="69"/>
      <c r="O719" s="69"/>
      <c r="P719" s="69"/>
      <c r="Q719" s="69"/>
      <c r="R719" s="69"/>
      <c r="S719" s="69"/>
      <c r="T719" s="69"/>
      <c r="U719" s="69"/>
      <c r="V719" s="69"/>
      <c r="W719" s="81"/>
      <c r="X719" s="69"/>
      <c r="Y719" s="69"/>
      <c r="Z719" s="69"/>
      <c r="AA719" s="69"/>
      <c r="AB719" s="69"/>
    </row>
    <row r="720" spans="1:28">
      <c r="A720" s="67"/>
      <c r="B720" s="67"/>
      <c r="C720" s="68"/>
      <c r="F720" s="69"/>
      <c r="G720" s="69"/>
      <c r="H720" s="69"/>
      <c r="I720" s="69"/>
      <c r="J720" s="69"/>
      <c r="K720" s="69"/>
      <c r="L720" s="69"/>
      <c r="M720" s="69"/>
      <c r="N720" s="69"/>
      <c r="O720" s="69"/>
      <c r="P720" s="69"/>
      <c r="Q720" s="69"/>
      <c r="R720" s="69"/>
      <c r="S720" s="69"/>
      <c r="T720" s="69"/>
      <c r="U720" s="69"/>
      <c r="V720" s="69"/>
      <c r="W720" s="81"/>
      <c r="X720" s="69"/>
      <c r="Y720" s="69"/>
      <c r="Z720" s="69"/>
      <c r="AA720" s="69"/>
      <c r="AB720" s="69"/>
    </row>
    <row r="721" spans="1:28">
      <c r="A721" s="67"/>
      <c r="B721" s="67"/>
      <c r="C721" s="68"/>
      <c r="F721" s="69"/>
      <c r="G721" s="69"/>
      <c r="H721" s="69"/>
      <c r="I721" s="69"/>
      <c r="J721" s="69"/>
      <c r="K721" s="69"/>
      <c r="L721" s="69"/>
      <c r="M721" s="69"/>
      <c r="N721" s="69"/>
      <c r="O721" s="69"/>
      <c r="P721" s="69"/>
      <c r="Q721" s="69"/>
      <c r="R721" s="69"/>
      <c r="S721" s="69"/>
      <c r="T721" s="69"/>
      <c r="U721" s="69"/>
      <c r="V721" s="69"/>
      <c r="W721" s="81"/>
      <c r="X721" s="69"/>
      <c r="Y721" s="69"/>
      <c r="Z721" s="69"/>
      <c r="AA721" s="69"/>
      <c r="AB721" s="69"/>
    </row>
    <row r="722" spans="1:28">
      <c r="A722" s="67"/>
      <c r="B722" s="67"/>
      <c r="C722" s="68"/>
      <c r="F722" s="69"/>
      <c r="G722" s="69"/>
      <c r="H722" s="69"/>
      <c r="I722" s="69"/>
      <c r="J722" s="69"/>
      <c r="K722" s="69"/>
      <c r="L722" s="69"/>
      <c r="M722" s="69"/>
      <c r="N722" s="69"/>
      <c r="O722" s="69"/>
      <c r="P722" s="69"/>
      <c r="Q722" s="69"/>
      <c r="R722" s="69"/>
      <c r="S722" s="69"/>
      <c r="T722" s="69"/>
      <c r="U722" s="69"/>
      <c r="V722" s="69"/>
      <c r="W722" s="81"/>
      <c r="X722" s="69"/>
      <c r="Y722" s="69"/>
      <c r="Z722" s="69"/>
      <c r="AA722" s="69"/>
      <c r="AB722" s="69"/>
    </row>
    <row r="723" spans="1:28">
      <c r="A723" s="67"/>
      <c r="B723" s="67"/>
      <c r="C723" s="68"/>
      <c r="F723" s="69"/>
      <c r="G723" s="69"/>
      <c r="H723" s="69"/>
      <c r="I723" s="69"/>
      <c r="J723" s="69"/>
      <c r="K723" s="69"/>
      <c r="L723" s="69"/>
      <c r="M723" s="69"/>
      <c r="N723" s="69"/>
      <c r="O723" s="69"/>
      <c r="P723" s="69"/>
      <c r="Q723" s="69"/>
      <c r="R723" s="69"/>
      <c r="S723" s="69"/>
      <c r="T723" s="69"/>
      <c r="U723" s="69"/>
      <c r="V723" s="69"/>
      <c r="W723" s="81"/>
      <c r="X723" s="69"/>
      <c r="Y723" s="69"/>
      <c r="Z723" s="69"/>
      <c r="AA723" s="69"/>
      <c r="AB723" s="69"/>
    </row>
    <row r="724" spans="1:28">
      <c r="A724" s="67"/>
      <c r="B724" s="67"/>
      <c r="C724" s="68"/>
      <c r="F724" s="69"/>
      <c r="G724" s="69"/>
      <c r="H724" s="69"/>
      <c r="I724" s="69"/>
      <c r="J724" s="69"/>
      <c r="K724" s="69"/>
      <c r="L724" s="69"/>
      <c r="M724" s="69"/>
      <c r="N724" s="69"/>
      <c r="O724" s="69"/>
      <c r="P724" s="69"/>
      <c r="Q724" s="69"/>
      <c r="R724" s="69"/>
      <c r="S724" s="69"/>
      <c r="T724" s="69"/>
      <c r="U724" s="69"/>
      <c r="V724" s="69"/>
      <c r="W724" s="81"/>
      <c r="X724" s="69"/>
      <c r="Y724" s="69"/>
      <c r="Z724" s="69"/>
      <c r="AA724" s="69"/>
      <c r="AB724" s="69"/>
    </row>
    <row r="725" spans="1:28">
      <c r="A725" s="67"/>
      <c r="B725" s="67"/>
      <c r="C725" s="68"/>
      <c r="F725" s="69"/>
      <c r="G725" s="69"/>
      <c r="H725" s="69"/>
      <c r="I725" s="69"/>
      <c r="J725" s="69"/>
      <c r="K725" s="69"/>
      <c r="L725" s="69"/>
      <c r="M725" s="69"/>
      <c r="N725" s="69"/>
      <c r="O725" s="69"/>
      <c r="P725" s="69"/>
      <c r="Q725" s="69"/>
      <c r="R725" s="69"/>
      <c r="S725" s="69"/>
      <c r="T725" s="69"/>
      <c r="U725" s="69"/>
      <c r="V725" s="69"/>
      <c r="W725" s="81"/>
      <c r="X725" s="69"/>
      <c r="Y725" s="69"/>
      <c r="Z725" s="69"/>
      <c r="AA725" s="69"/>
      <c r="AB725" s="69"/>
    </row>
    <row r="726" spans="1:28">
      <c r="A726" s="67"/>
      <c r="B726" s="67"/>
      <c r="C726" s="68"/>
      <c r="F726" s="69"/>
      <c r="G726" s="69"/>
      <c r="H726" s="69"/>
      <c r="I726" s="69"/>
      <c r="J726" s="69"/>
      <c r="K726" s="69"/>
      <c r="L726" s="69"/>
      <c r="M726" s="69"/>
      <c r="N726" s="69"/>
      <c r="O726" s="69"/>
      <c r="P726" s="69"/>
      <c r="Q726" s="69"/>
      <c r="R726" s="69"/>
      <c r="S726" s="69"/>
      <c r="T726" s="69"/>
      <c r="U726" s="69"/>
      <c r="V726" s="69"/>
      <c r="W726" s="81"/>
      <c r="X726" s="69"/>
      <c r="Y726" s="69"/>
      <c r="Z726" s="69"/>
      <c r="AA726" s="69"/>
      <c r="AB726" s="69"/>
    </row>
    <row r="727" spans="1:28">
      <c r="A727" s="67"/>
      <c r="B727" s="67"/>
      <c r="C727" s="68"/>
      <c r="F727" s="69"/>
      <c r="G727" s="69"/>
      <c r="H727" s="69"/>
      <c r="I727" s="69"/>
      <c r="J727" s="69"/>
      <c r="K727" s="69"/>
      <c r="L727" s="69"/>
      <c r="M727" s="69"/>
      <c r="N727" s="69"/>
      <c r="O727" s="69"/>
      <c r="P727" s="69"/>
      <c r="Q727" s="69"/>
      <c r="R727" s="69"/>
      <c r="S727" s="69"/>
      <c r="T727" s="69"/>
      <c r="U727" s="69"/>
      <c r="V727" s="69"/>
      <c r="W727" s="81"/>
      <c r="X727" s="69"/>
      <c r="Y727" s="69"/>
      <c r="Z727" s="69"/>
      <c r="AA727" s="69"/>
      <c r="AB727" s="69"/>
    </row>
    <row r="728" spans="1:28">
      <c r="A728" s="67"/>
      <c r="B728" s="67"/>
      <c r="C728" s="68"/>
      <c r="F728" s="69"/>
      <c r="G728" s="69"/>
      <c r="H728" s="69"/>
      <c r="I728" s="69"/>
      <c r="J728" s="69"/>
      <c r="K728" s="69"/>
      <c r="L728" s="69"/>
      <c r="M728" s="69"/>
      <c r="N728" s="69"/>
      <c r="O728" s="69"/>
      <c r="P728" s="69"/>
      <c r="Q728" s="69"/>
      <c r="R728" s="69"/>
      <c r="S728" s="69"/>
      <c r="T728" s="69"/>
      <c r="U728" s="69"/>
      <c r="V728" s="69"/>
      <c r="W728" s="81"/>
      <c r="X728" s="69"/>
      <c r="Y728" s="69"/>
      <c r="Z728" s="69"/>
      <c r="AA728" s="69"/>
      <c r="AB728" s="69"/>
    </row>
    <row r="729" spans="1:28">
      <c r="A729" s="67"/>
      <c r="B729" s="67"/>
      <c r="C729" s="68"/>
      <c r="F729" s="69"/>
      <c r="G729" s="69"/>
      <c r="H729" s="69"/>
      <c r="I729" s="69"/>
      <c r="J729" s="69"/>
      <c r="K729" s="69"/>
      <c r="L729" s="69"/>
      <c r="M729" s="69"/>
      <c r="N729" s="69"/>
      <c r="O729" s="69"/>
      <c r="P729" s="69"/>
      <c r="Q729" s="69"/>
      <c r="R729" s="69"/>
      <c r="S729" s="69"/>
      <c r="T729" s="69"/>
      <c r="U729" s="69"/>
      <c r="V729" s="69"/>
      <c r="W729" s="81"/>
      <c r="X729" s="69"/>
      <c r="Y729" s="69"/>
      <c r="Z729" s="69"/>
      <c r="AA729" s="69"/>
      <c r="AB729" s="69"/>
    </row>
    <row r="730" spans="1:28">
      <c r="A730" s="67"/>
      <c r="B730" s="67"/>
      <c r="C730" s="68"/>
      <c r="F730" s="69"/>
      <c r="G730" s="69"/>
      <c r="H730" s="69"/>
      <c r="I730" s="69"/>
      <c r="J730" s="69"/>
      <c r="K730" s="69"/>
      <c r="L730" s="69"/>
      <c r="M730" s="69"/>
      <c r="N730" s="69"/>
      <c r="O730" s="69"/>
      <c r="P730" s="69"/>
      <c r="Q730" s="69"/>
      <c r="R730" s="69"/>
      <c r="S730" s="69"/>
      <c r="T730" s="69"/>
      <c r="U730" s="69"/>
      <c r="V730" s="69"/>
      <c r="W730" s="81"/>
      <c r="X730" s="69"/>
      <c r="Y730" s="69"/>
      <c r="Z730" s="69"/>
      <c r="AA730" s="69"/>
      <c r="AB730" s="69"/>
    </row>
    <row r="731" spans="1:28">
      <c r="A731" s="67"/>
      <c r="B731" s="67"/>
      <c r="C731" s="68"/>
      <c r="F731" s="69"/>
      <c r="G731" s="69"/>
      <c r="H731" s="69"/>
      <c r="I731" s="69"/>
      <c r="J731" s="69"/>
      <c r="K731" s="69"/>
      <c r="L731" s="69"/>
      <c r="M731" s="69"/>
      <c r="N731" s="69"/>
      <c r="O731" s="69"/>
      <c r="P731" s="69"/>
      <c r="Q731" s="69"/>
      <c r="R731" s="69"/>
      <c r="S731" s="69"/>
      <c r="T731" s="69"/>
      <c r="U731" s="69"/>
      <c r="V731" s="69"/>
      <c r="W731" s="81"/>
      <c r="X731" s="69"/>
      <c r="Y731" s="69"/>
      <c r="Z731" s="69"/>
      <c r="AA731" s="69"/>
      <c r="AB731" s="69"/>
    </row>
    <row r="732" spans="1:28">
      <c r="A732" s="67"/>
      <c r="B732" s="67"/>
      <c r="C732" s="68"/>
      <c r="F732" s="69"/>
      <c r="G732" s="69"/>
      <c r="H732" s="69"/>
      <c r="I732" s="69"/>
      <c r="J732" s="69"/>
      <c r="K732" s="69"/>
      <c r="L732" s="69"/>
      <c r="M732" s="69"/>
      <c r="N732" s="69"/>
      <c r="O732" s="69"/>
      <c r="P732" s="69"/>
      <c r="Q732" s="69"/>
      <c r="R732" s="69"/>
      <c r="S732" s="69"/>
      <c r="T732" s="69"/>
      <c r="U732" s="69"/>
      <c r="V732" s="69"/>
      <c r="W732" s="81"/>
      <c r="X732" s="69"/>
      <c r="Y732" s="69"/>
      <c r="Z732" s="69"/>
      <c r="AA732" s="69"/>
      <c r="AB732" s="69"/>
    </row>
    <row r="733" spans="1:28">
      <c r="A733" s="67"/>
      <c r="B733" s="67"/>
      <c r="C733" s="68"/>
      <c r="F733" s="69"/>
      <c r="G733" s="69"/>
      <c r="H733" s="69"/>
      <c r="I733" s="69"/>
      <c r="J733" s="69"/>
      <c r="K733" s="69"/>
      <c r="L733" s="69"/>
      <c r="M733" s="69"/>
      <c r="N733" s="69"/>
      <c r="O733" s="69"/>
      <c r="P733" s="69"/>
      <c r="Q733" s="69"/>
      <c r="R733" s="69"/>
      <c r="S733" s="69"/>
      <c r="T733" s="69"/>
      <c r="U733" s="69"/>
      <c r="V733" s="69"/>
      <c r="W733" s="81"/>
      <c r="X733" s="69"/>
      <c r="Y733" s="69"/>
      <c r="Z733" s="69"/>
      <c r="AA733" s="69"/>
      <c r="AB733" s="69"/>
    </row>
    <row r="734" spans="1:28">
      <c r="A734" s="67"/>
      <c r="B734" s="67"/>
      <c r="C734" s="68"/>
      <c r="F734" s="69"/>
      <c r="G734" s="69"/>
      <c r="H734" s="69"/>
      <c r="I734" s="69"/>
      <c r="J734" s="69"/>
      <c r="K734" s="69"/>
      <c r="L734" s="69"/>
      <c r="M734" s="69"/>
      <c r="N734" s="69"/>
      <c r="O734" s="69"/>
      <c r="P734" s="69"/>
      <c r="Q734" s="69"/>
      <c r="R734" s="69"/>
      <c r="S734" s="69"/>
      <c r="T734" s="69"/>
      <c r="U734" s="69"/>
      <c r="V734" s="69"/>
      <c r="W734" s="81"/>
      <c r="X734" s="69"/>
      <c r="Y734" s="69"/>
      <c r="Z734" s="69"/>
      <c r="AA734" s="69"/>
      <c r="AB734" s="69"/>
    </row>
    <row r="735" spans="1:28">
      <c r="A735" s="67"/>
      <c r="B735" s="67"/>
      <c r="C735" s="68"/>
      <c r="F735" s="69"/>
      <c r="G735" s="69"/>
      <c r="H735" s="69"/>
      <c r="I735" s="69"/>
      <c r="J735" s="69"/>
      <c r="K735" s="69"/>
      <c r="L735" s="69"/>
      <c r="M735" s="69"/>
      <c r="N735" s="69"/>
      <c r="O735" s="69"/>
      <c r="P735" s="69"/>
      <c r="Q735" s="69"/>
      <c r="R735" s="69"/>
      <c r="S735" s="69"/>
      <c r="T735" s="69"/>
      <c r="U735" s="69"/>
      <c r="V735" s="69"/>
      <c r="W735" s="81"/>
      <c r="X735" s="69"/>
      <c r="Y735" s="69"/>
      <c r="Z735" s="69"/>
      <c r="AA735" s="69"/>
      <c r="AB735" s="69"/>
    </row>
    <row r="736" spans="1:28">
      <c r="A736" s="67"/>
      <c r="B736" s="67"/>
      <c r="C736" s="68"/>
      <c r="F736" s="69"/>
      <c r="G736" s="69"/>
      <c r="H736" s="69"/>
      <c r="I736" s="69"/>
      <c r="J736" s="69"/>
      <c r="K736" s="69"/>
      <c r="L736" s="69"/>
      <c r="M736" s="69"/>
      <c r="N736" s="69"/>
      <c r="O736" s="69"/>
      <c r="P736" s="69"/>
      <c r="Q736" s="69"/>
      <c r="R736" s="69"/>
      <c r="S736" s="69"/>
      <c r="T736" s="69"/>
      <c r="U736" s="69"/>
      <c r="V736" s="69"/>
      <c r="W736" s="81"/>
      <c r="X736" s="69"/>
      <c r="Y736" s="69"/>
      <c r="Z736" s="69"/>
      <c r="AA736" s="69"/>
      <c r="AB736" s="69"/>
    </row>
    <row r="737" spans="1:28">
      <c r="A737" s="67"/>
      <c r="B737" s="67"/>
      <c r="C737" s="68"/>
      <c r="F737" s="69"/>
      <c r="G737" s="69"/>
      <c r="H737" s="69"/>
      <c r="I737" s="69"/>
      <c r="J737" s="69"/>
      <c r="K737" s="69"/>
      <c r="L737" s="69"/>
      <c r="M737" s="69"/>
      <c r="N737" s="69"/>
      <c r="O737" s="69"/>
      <c r="P737" s="69"/>
      <c r="Q737" s="69"/>
      <c r="R737" s="69"/>
      <c r="S737" s="69"/>
      <c r="T737" s="69"/>
      <c r="U737" s="69"/>
      <c r="V737" s="69"/>
      <c r="W737" s="81"/>
      <c r="X737" s="69"/>
      <c r="Y737" s="69"/>
      <c r="Z737" s="69"/>
      <c r="AA737" s="69"/>
      <c r="AB737" s="69"/>
    </row>
    <row r="738" spans="1:28">
      <c r="A738" s="67"/>
      <c r="B738" s="67"/>
      <c r="C738" s="68"/>
      <c r="F738" s="69"/>
      <c r="G738" s="69"/>
      <c r="H738" s="69"/>
      <c r="I738" s="69"/>
      <c r="J738" s="69"/>
      <c r="K738" s="69"/>
      <c r="L738" s="69"/>
      <c r="M738" s="69"/>
      <c r="N738" s="69"/>
      <c r="O738" s="69"/>
      <c r="P738" s="69"/>
      <c r="Q738" s="69"/>
      <c r="R738" s="69"/>
      <c r="S738" s="69"/>
      <c r="T738" s="69"/>
      <c r="U738" s="69"/>
      <c r="V738" s="69"/>
      <c r="W738" s="81"/>
      <c r="X738" s="69"/>
      <c r="Y738" s="69"/>
      <c r="Z738" s="69"/>
      <c r="AA738" s="69"/>
      <c r="AB738" s="69"/>
    </row>
    <row r="739" spans="1:28">
      <c r="A739" s="67"/>
      <c r="B739" s="67"/>
      <c r="C739" s="68"/>
      <c r="F739" s="69"/>
      <c r="G739" s="69"/>
      <c r="H739" s="69"/>
      <c r="I739" s="69"/>
      <c r="J739" s="69"/>
      <c r="K739" s="69"/>
      <c r="L739" s="69"/>
      <c r="M739" s="69"/>
      <c r="N739" s="69"/>
      <c r="O739" s="69"/>
      <c r="P739" s="69"/>
      <c r="Q739" s="69"/>
      <c r="R739" s="69"/>
      <c r="S739" s="69"/>
      <c r="T739" s="69"/>
      <c r="U739" s="69"/>
      <c r="V739" s="69"/>
      <c r="W739" s="81"/>
      <c r="X739" s="69"/>
      <c r="Y739" s="69"/>
      <c r="Z739" s="69"/>
      <c r="AA739" s="69"/>
      <c r="AB739" s="69"/>
    </row>
    <row r="740" spans="1:28">
      <c r="A740" s="67"/>
      <c r="B740" s="67"/>
      <c r="C740" s="68"/>
      <c r="F740" s="69"/>
      <c r="G740" s="69"/>
      <c r="H740" s="69"/>
      <c r="I740" s="69"/>
      <c r="J740" s="69"/>
      <c r="K740" s="69"/>
      <c r="L740" s="69"/>
      <c r="M740" s="69"/>
      <c r="N740" s="69"/>
      <c r="O740" s="69"/>
      <c r="P740" s="69"/>
      <c r="Q740" s="69"/>
      <c r="R740" s="69"/>
      <c r="S740" s="69"/>
      <c r="T740" s="69"/>
      <c r="U740" s="69"/>
      <c r="V740" s="69"/>
      <c r="W740" s="81"/>
      <c r="X740" s="69"/>
      <c r="Y740" s="69"/>
      <c r="Z740" s="69"/>
      <c r="AA740" s="69"/>
      <c r="AB740" s="69"/>
    </row>
    <row r="741" spans="1:28">
      <c r="A741" s="67"/>
      <c r="B741" s="67"/>
      <c r="C741" s="68"/>
      <c r="F741" s="69"/>
      <c r="G741" s="69"/>
      <c r="H741" s="69"/>
      <c r="I741" s="69"/>
      <c r="J741" s="69"/>
      <c r="K741" s="69"/>
      <c r="L741" s="69"/>
      <c r="M741" s="69"/>
      <c r="N741" s="69"/>
      <c r="O741" s="69"/>
      <c r="P741" s="69"/>
      <c r="Q741" s="69"/>
      <c r="R741" s="69"/>
      <c r="S741" s="69"/>
      <c r="T741" s="69"/>
      <c r="U741" s="69"/>
      <c r="V741" s="69"/>
      <c r="W741" s="81"/>
      <c r="X741" s="69"/>
      <c r="Y741" s="69"/>
      <c r="Z741" s="69"/>
      <c r="AA741" s="69"/>
      <c r="AB741" s="69"/>
    </row>
    <row r="742" spans="1:28">
      <c r="A742" s="67"/>
      <c r="B742" s="67"/>
      <c r="C742" s="68"/>
      <c r="F742" s="69"/>
      <c r="G742" s="69"/>
      <c r="H742" s="69"/>
      <c r="I742" s="69"/>
      <c r="J742" s="69"/>
      <c r="K742" s="69"/>
      <c r="L742" s="69"/>
      <c r="M742" s="69"/>
      <c r="N742" s="69"/>
      <c r="O742" s="69"/>
      <c r="P742" s="69"/>
      <c r="Q742" s="69"/>
      <c r="R742" s="69"/>
      <c r="S742" s="69"/>
      <c r="T742" s="69"/>
      <c r="U742" s="69"/>
      <c r="V742" s="69"/>
      <c r="W742" s="81"/>
      <c r="X742" s="69"/>
      <c r="Y742" s="69"/>
      <c r="Z742" s="69"/>
      <c r="AA742" s="69"/>
      <c r="AB742" s="69"/>
    </row>
    <row r="743" spans="1:28">
      <c r="A743" s="67"/>
      <c r="B743" s="67"/>
      <c r="C743" s="68"/>
      <c r="F743" s="69"/>
      <c r="G743" s="69"/>
      <c r="H743" s="69"/>
      <c r="I743" s="69"/>
      <c r="J743" s="69"/>
      <c r="K743" s="69"/>
      <c r="L743" s="69"/>
      <c r="M743" s="69"/>
      <c r="N743" s="69"/>
      <c r="O743" s="69"/>
      <c r="P743" s="69"/>
      <c r="Q743" s="69"/>
      <c r="R743" s="69"/>
      <c r="S743" s="69"/>
      <c r="T743" s="69"/>
      <c r="U743" s="69"/>
      <c r="V743" s="69"/>
      <c r="W743" s="81"/>
      <c r="X743" s="69"/>
      <c r="Y743" s="69"/>
      <c r="Z743" s="69"/>
      <c r="AA743" s="69"/>
      <c r="AB743" s="69"/>
    </row>
    <row r="744" spans="1:28">
      <c r="A744" s="67"/>
      <c r="B744" s="67"/>
      <c r="C744" s="68"/>
      <c r="F744" s="69"/>
      <c r="G744" s="69"/>
      <c r="H744" s="69"/>
      <c r="I744" s="69"/>
      <c r="J744" s="69"/>
      <c r="K744" s="69"/>
      <c r="L744" s="69"/>
      <c r="M744" s="69"/>
      <c r="N744" s="69"/>
      <c r="O744" s="69"/>
      <c r="P744" s="69"/>
      <c r="Q744" s="69"/>
      <c r="R744" s="69"/>
      <c r="S744" s="69"/>
      <c r="T744" s="69"/>
      <c r="U744" s="69"/>
      <c r="V744" s="69"/>
      <c r="W744" s="81"/>
      <c r="X744" s="69"/>
      <c r="Y744" s="69"/>
      <c r="Z744" s="69"/>
      <c r="AA744" s="69"/>
      <c r="AB744" s="69"/>
    </row>
    <row r="745" spans="1:28">
      <c r="A745" s="67"/>
      <c r="B745" s="67"/>
      <c r="C745" s="68"/>
      <c r="F745" s="69"/>
      <c r="G745" s="69"/>
      <c r="H745" s="69"/>
      <c r="I745" s="69"/>
      <c r="J745" s="69"/>
      <c r="K745" s="69"/>
      <c r="L745" s="69"/>
      <c r="M745" s="69"/>
      <c r="N745" s="69"/>
      <c r="O745" s="69"/>
      <c r="P745" s="69"/>
      <c r="Q745" s="69"/>
      <c r="R745" s="69"/>
      <c r="S745" s="69"/>
      <c r="T745" s="69"/>
      <c r="U745" s="69"/>
      <c r="V745" s="69"/>
      <c r="W745" s="81"/>
      <c r="X745" s="69"/>
      <c r="Y745" s="69"/>
      <c r="Z745" s="69"/>
      <c r="AA745" s="69"/>
      <c r="AB745" s="69"/>
    </row>
    <row r="746" spans="1:28">
      <c r="A746" s="67"/>
      <c r="B746" s="67"/>
      <c r="C746" s="68"/>
      <c r="F746" s="69"/>
      <c r="G746" s="69"/>
      <c r="H746" s="69"/>
      <c r="I746" s="69"/>
      <c r="J746" s="69"/>
      <c r="K746" s="69"/>
      <c r="L746" s="69"/>
      <c r="M746" s="69"/>
      <c r="N746" s="69"/>
      <c r="O746" s="69"/>
      <c r="P746" s="69"/>
      <c r="Q746" s="69"/>
      <c r="R746" s="69"/>
      <c r="S746" s="69"/>
      <c r="T746" s="69"/>
      <c r="U746" s="69"/>
      <c r="V746" s="69"/>
      <c r="W746" s="81"/>
      <c r="X746" s="69"/>
      <c r="Y746" s="69"/>
      <c r="Z746" s="69"/>
      <c r="AA746" s="69"/>
      <c r="AB746" s="69"/>
    </row>
    <row r="747" spans="1:28">
      <c r="A747" s="67"/>
      <c r="B747" s="67"/>
      <c r="C747" s="68"/>
      <c r="F747" s="69"/>
      <c r="G747" s="69"/>
      <c r="H747" s="69"/>
      <c r="I747" s="69"/>
      <c r="J747" s="69"/>
      <c r="K747" s="69"/>
      <c r="L747" s="69"/>
      <c r="M747" s="69"/>
      <c r="N747" s="69"/>
      <c r="O747" s="69"/>
      <c r="P747" s="69"/>
      <c r="Q747" s="69"/>
      <c r="R747" s="69"/>
      <c r="S747" s="69"/>
      <c r="T747" s="69"/>
      <c r="U747" s="69"/>
      <c r="V747" s="69"/>
      <c r="W747" s="81"/>
      <c r="X747" s="69"/>
      <c r="Y747" s="69"/>
      <c r="Z747" s="69"/>
      <c r="AA747" s="69"/>
      <c r="AB747" s="69"/>
    </row>
    <row r="748" spans="1:28">
      <c r="A748" s="67"/>
      <c r="B748" s="67"/>
      <c r="C748" s="68"/>
      <c r="F748" s="69"/>
      <c r="G748" s="69"/>
      <c r="H748" s="69"/>
      <c r="I748" s="69"/>
      <c r="J748" s="69"/>
      <c r="K748" s="69"/>
      <c r="L748" s="69"/>
      <c r="M748" s="69"/>
      <c r="N748" s="69"/>
      <c r="O748" s="69"/>
      <c r="P748" s="69"/>
      <c r="Q748" s="69"/>
      <c r="R748" s="69"/>
      <c r="S748" s="69"/>
      <c r="T748" s="69"/>
      <c r="U748" s="69"/>
      <c r="V748" s="69"/>
      <c r="W748" s="81"/>
      <c r="X748" s="69"/>
      <c r="Y748" s="69"/>
      <c r="Z748" s="69"/>
      <c r="AA748" s="69"/>
      <c r="AB748" s="69"/>
    </row>
    <row r="749" spans="1:28">
      <c r="A749" s="67"/>
      <c r="B749" s="67"/>
      <c r="C749" s="68"/>
      <c r="F749" s="69"/>
      <c r="G749" s="69"/>
      <c r="H749" s="69"/>
      <c r="I749" s="69"/>
      <c r="J749" s="69"/>
      <c r="K749" s="69"/>
      <c r="L749" s="69"/>
      <c r="M749" s="69"/>
      <c r="N749" s="69"/>
      <c r="O749" s="69"/>
      <c r="P749" s="69"/>
      <c r="Q749" s="69"/>
      <c r="R749" s="69"/>
      <c r="S749" s="69"/>
      <c r="T749" s="69"/>
      <c r="U749" s="69"/>
      <c r="V749" s="69"/>
      <c r="W749" s="81"/>
      <c r="X749" s="69"/>
      <c r="Y749" s="69"/>
      <c r="Z749" s="69"/>
      <c r="AA749" s="69"/>
      <c r="AB749" s="69"/>
    </row>
    <row r="750" spans="1:28">
      <c r="A750" s="67"/>
      <c r="B750" s="67"/>
      <c r="C750" s="68"/>
      <c r="F750" s="69"/>
      <c r="G750" s="69"/>
      <c r="H750" s="69"/>
      <c r="I750" s="69"/>
      <c r="J750" s="69"/>
      <c r="K750" s="69"/>
      <c r="L750" s="69"/>
      <c r="M750" s="69"/>
      <c r="N750" s="69"/>
      <c r="O750" s="69"/>
      <c r="P750" s="69"/>
      <c r="Q750" s="69"/>
      <c r="R750" s="69"/>
      <c r="S750" s="69"/>
      <c r="T750" s="69"/>
      <c r="U750" s="69"/>
      <c r="V750" s="69"/>
      <c r="W750" s="81"/>
      <c r="X750" s="69"/>
      <c r="Y750" s="69"/>
      <c r="Z750" s="69"/>
      <c r="AA750" s="69"/>
      <c r="AB750" s="69"/>
    </row>
    <row r="751" spans="1:28">
      <c r="A751" s="67"/>
      <c r="B751" s="67"/>
      <c r="C751" s="68"/>
      <c r="F751" s="69"/>
      <c r="G751" s="69"/>
      <c r="H751" s="69"/>
      <c r="I751" s="69"/>
      <c r="J751" s="69"/>
      <c r="K751" s="69"/>
      <c r="L751" s="69"/>
      <c r="M751" s="69"/>
      <c r="N751" s="69"/>
      <c r="O751" s="69"/>
      <c r="P751" s="69"/>
      <c r="Q751" s="69"/>
      <c r="R751" s="69"/>
      <c r="S751" s="69"/>
      <c r="T751" s="69"/>
      <c r="U751" s="69"/>
      <c r="V751" s="69"/>
      <c r="W751" s="81"/>
      <c r="X751" s="69"/>
      <c r="Y751" s="69"/>
      <c r="Z751" s="69"/>
      <c r="AA751" s="69"/>
      <c r="AB751" s="69"/>
    </row>
    <row r="752" spans="1:28">
      <c r="A752" s="67"/>
      <c r="B752" s="67"/>
      <c r="C752" s="68"/>
      <c r="F752" s="69"/>
      <c r="G752" s="69"/>
      <c r="H752" s="69"/>
      <c r="I752" s="69"/>
      <c r="J752" s="69"/>
      <c r="K752" s="69"/>
      <c r="L752" s="69"/>
      <c r="M752" s="69"/>
      <c r="N752" s="69"/>
      <c r="O752" s="69"/>
      <c r="P752" s="69"/>
      <c r="Q752" s="69"/>
      <c r="R752" s="69"/>
      <c r="S752" s="69"/>
      <c r="T752" s="69"/>
      <c r="U752" s="69"/>
      <c r="V752" s="69"/>
      <c r="W752" s="81"/>
      <c r="X752" s="69"/>
      <c r="Y752" s="69"/>
      <c r="Z752" s="69"/>
      <c r="AA752" s="69"/>
      <c r="AB752" s="69"/>
    </row>
    <row r="753" spans="1:28">
      <c r="A753" s="67"/>
      <c r="B753" s="67"/>
      <c r="C753" s="68"/>
      <c r="F753" s="69"/>
      <c r="G753" s="69"/>
      <c r="H753" s="69"/>
      <c r="I753" s="69"/>
      <c r="J753" s="69"/>
      <c r="K753" s="69"/>
      <c r="L753" s="69"/>
      <c r="M753" s="69"/>
      <c r="N753" s="69"/>
      <c r="O753" s="69"/>
      <c r="P753" s="69"/>
      <c r="Q753" s="69"/>
      <c r="R753" s="69"/>
      <c r="S753" s="69"/>
      <c r="T753" s="69"/>
      <c r="U753" s="69"/>
      <c r="V753" s="69"/>
      <c r="W753" s="81"/>
      <c r="X753" s="69"/>
      <c r="Y753" s="69"/>
      <c r="Z753" s="69"/>
      <c r="AA753" s="69"/>
      <c r="AB753" s="69"/>
    </row>
    <row r="754" spans="1:28">
      <c r="A754" s="67"/>
      <c r="B754" s="67"/>
      <c r="C754" s="68"/>
      <c r="F754" s="69"/>
      <c r="G754" s="69"/>
      <c r="H754" s="69"/>
      <c r="I754" s="69"/>
      <c r="J754" s="69"/>
      <c r="K754" s="69"/>
      <c r="L754" s="69"/>
      <c r="M754" s="69"/>
      <c r="N754" s="69"/>
      <c r="O754" s="69"/>
      <c r="P754" s="69"/>
      <c r="Q754" s="69"/>
      <c r="R754" s="69"/>
      <c r="S754" s="69"/>
      <c r="T754" s="69"/>
      <c r="U754" s="69"/>
      <c r="V754" s="69"/>
      <c r="W754" s="81"/>
      <c r="X754" s="69"/>
      <c r="Y754" s="69"/>
      <c r="Z754" s="69"/>
      <c r="AA754" s="69"/>
      <c r="AB754" s="69"/>
    </row>
    <row r="755" spans="1:28">
      <c r="A755" s="67"/>
      <c r="B755" s="67"/>
      <c r="C755" s="68"/>
      <c r="F755" s="69"/>
      <c r="G755" s="69"/>
      <c r="H755" s="69"/>
      <c r="I755" s="69"/>
      <c r="J755" s="69"/>
      <c r="K755" s="69"/>
      <c r="L755" s="69"/>
      <c r="M755" s="69"/>
      <c r="N755" s="69"/>
      <c r="O755" s="69"/>
      <c r="P755" s="69"/>
      <c r="Q755" s="69"/>
      <c r="R755" s="69"/>
      <c r="S755" s="69"/>
      <c r="T755" s="69"/>
      <c r="U755" s="69"/>
      <c r="V755" s="69"/>
      <c r="W755" s="81"/>
      <c r="X755" s="69"/>
      <c r="Y755" s="69"/>
      <c r="Z755" s="69"/>
      <c r="AA755" s="69"/>
      <c r="AB755" s="69"/>
    </row>
    <row r="756" spans="1:28">
      <c r="A756" s="67"/>
      <c r="B756" s="67"/>
      <c r="C756" s="68"/>
      <c r="F756" s="69"/>
      <c r="G756" s="69"/>
      <c r="H756" s="69"/>
      <c r="I756" s="69"/>
      <c r="J756" s="69"/>
      <c r="K756" s="69"/>
      <c r="L756" s="69"/>
      <c r="M756" s="69"/>
      <c r="N756" s="69"/>
      <c r="O756" s="69"/>
      <c r="P756" s="69"/>
      <c r="Q756" s="69"/>
      <c r="R756" s="69"/>
      <c r="S756" s="69"/>
      <c r="T756" s="69"/>
      <c r="U756" s="69"/>
      <c r="V756" s="69"/>
      <c r="W756" s="81"/>
      <c r="X756" s="69"/>
      <c r="Y756" s="69"/>
      <c r="Z756" s="69"/>
      <c r="AA756" s="69"/>
      <c r="AB756" s="69"/>
    </row>
    <row r="757" spans="1:28">
      <c r="A757" s="67"/>
      <c r="B757" s="67"/>
      <c r="C757" s="68"/>
      <c r="F757" s="69"/>
      <c r="G757" s="69"/>
      <c r="H757" s="69"/>
      <c r="I757" s="69"/>
      <c r="J757" s="69"/>
      <c r="K757" s="69"/>
      <c r="L757" s="69"/>
      <c r="M757" s="69"/>
      <c r="N757" s="69"/>
      <c r="O757" s="69"/>
      <c r="P757" s="69"/>
      <c r="Q757" s="69"/>
      <c r="R757" s="69"/>
      <c r="S757" s="69"/>
      <c r="T757" s="69"/>
      <c r="U757" s="69"/>
      <c r="V757" s="69"/>
      <c r="W757" s="81"/>
      <c r="X757" s="69"/>
      <c r="Y757" s="69"/>
      <c r="Z757" s="69"/>
      <c r="AA757" s="69"/>
      <c r="AB757" s="69"/>
    </row>
    <row r="758" spans="1:28">
      <c r="A758" s="67"/>
      <c r="B758" s="67"/>
      <c r="C758" s="68"/>
      <c r="F758" s="69"/>
      <c r="G758" s="69"/>
      <c r="H758" s="69"/>
      <c r="I758" s="69"/>
      <c r="J758" s="69"/>
      <c r="K758" s="69"/>
      <c r="L758" s="69"/>
      <c r="M758" s="69"/>
      <c r="N758" s="69"/>
      <c r="O758" s="69"/>
      <c r="P758" s="69"/>
      <c r="Q758" s="69"/>
      <c r="R758" s="69"/>
      <c r="S758" s="69"/>
      <c r="T758" s="69"/>
      <c r="U758" s="69"/>
      <c r="V758" s="69"/>
      <c r="W758" s="81"/>
      <c r="X758" s="69"/>
      <c r="Y758" s="69"/>
      <c r="Z758" s="69"/>
      <c r="AA758" s="69"/>
      <c r="AB758" s="69"/>
    </row>
    <row r="759" spans="1:28">
      <c r="A759" s="67"/>
      <c r="B759" s="67"/>
      <c r="C759" s="68"/>
      <c r="F759" s="69"/>
      <c r="G759" s="69"/>
      <c r="H759" s="69"/>
      <c r="I759" s="69"/>
      <c r="J759" s="69"/>
      <c r="K759" s="69"/>
      <c r="L759" s="69"/>
      <c r="M759" s="69"/>
      <c r="N759" s="69"/>
      <c r="O759" s="69"/>
      <c r="P759" s="69"/>
      <c r="Q759" s="69"/>
      <c r="R759" s="69"/>
      <c r="S759" s="69"/>
      <c r="T759" s="69"/>
      <c r="U759" s="69"/>
      <c r="V759" s="69"/>
      <c r="W759" s="81"/>
      <c r="X759" s="69"/>
      <c r="Y759" s="69"/>
      <c r="Z759" s="69"/>
      <c r="AA759" s="69"/>
      <c r="AB759" s="69"/>
    </row>
    <row r="760" spans="1:28">
      <c r="A760" s="67"/>
      <c r="B760" s="67"/>
      <c r="C760" s="68"/>
      <c r="F760" s="69"/>
      <c r="G760" s="69"/>
      <c r="H760" s="69"/>
      <c r="I760" s="69"/>
      <c r="J760" s="69"/>
      <c r="K760" s="69"/>
      <c r="L760" s="69"/>
      <c r="M760" s="69"/>
      <c r="N760" s="69"/>
      <c r="O760" s="69"/>
      <c r="P760" s="69"/>
      <c r="Q760" s="69"/>
      <c r="R760" s="69"/>
      <c r="S760" s="69"/>
      <c r="T760" s="69"/>
      <c r="U760" s="69"/>
      <c r="V760" s="69"/>
      <c r="W760" s="81"/>
      <c r="X760" s="69"/>
      <c r="Y760" s="69"/>
      <c r="Z760" s="69"/>
      <c r="AA760" s="69"/>
      <c r="AB760" s="69"/>
    </row>
    <row r="761" spans="1:28">
      <c r="A761" s="67"/>
      <c r="B761" s="67"/>
      <c r="C761" s="68"/>
      <c r="F761" s="69"/>
      <c r="G761" s="69"/>
      <c r="H761" s="69"/>
      <c r="I761" s="69"/>
      <c r="J761" s="69"/>
      <c r="K761" s="69"/>
      <c r="L761" s="69"/>
      <c r="M761" s="69"/>
      <c r="N761" s="69"/>
      <c r="O761" s="69"/>
      <c r="P761" s="69"/>
      <c r="Q761" s="69"/>
      <c r="R761" s="69"/>
      <c r="S761" s="69"/>
      <c r="T761" s="69"/>
      <c r="U761" s="69"/>
      <c r="V761" s="69"/>
      <c r="W761" s="81"/>
      <c r="X761" s="69"/>
      <c r="Y761" s="69"/>
      <c r="Z761" s="69"/>
      <c r="AA761" s="69"/>
      <c r="AB761" s="69"/>
    </row>
    <row r="762" spans="1:28">
      <c r="A762" s="67"/>
      <c r="B762" s="67"/>
      <c r="C762" s="68"/>
      <c r="F762" s="69"/>
      <c r="G762" s="69"/>
      <c r="H762" s="69"/>
      <c r="I762" s="69"/>
      <c r="J762" s="69"/>
      <c r="K762" s="69"/>
      <c r="L762" s="69"/>
      <c r="M762" s="69"/>
      <c r="N762" s="69"/>
      <c r="O762" s="69"/>
      <c r="P762" s="69"/>
      <c r="Q762" s="69"/>
      <c r="R762" s="69"/>
      <c r="S762" s="69"/>
      <c r="T762" s="69"/>
      <c r="U762" s="69"/>
      <c r="V762" s="69"/>
      <c r="W762" s="81"/>
      <c r="X762" s="69"/>
      <c r="Y762" s="69"/>
      <c r="Z762" s="69"/>
      <c r="AA762" s="69"/>
      <c r="AB762" s="69"/>
    </row>
    <row r="763" spans="1:28">
      <c r="A763" s="67"/>
      <c r="B763" s="67"/>
      <c r="C763" s="68"/>
      <c r="F763" s="69"/>
      <c r="G763" s="69"/>
      <c r="H763" s="69"/>
      <c r="I763" s="69"/>
      <c r="J763" s="69"/>
      <c r="K763" s="69"/>
      <c r="L763" s="69"/>
      <c r="M763" s="69"/>
      <c r="N763" s="69"/>
      <c r="O763" s="69"/>
      <c r="P763" s="69"/>
      <c r="Q763" s="69"/>
      <c r="R763" s="69"/>
      <c r="S763" s="69"/>
      <c r="T763" s="69"/>
      <c r="U763" s="69"/>
      <c r="V763" s="69"/>
      <c r="W763" s="81"/>
      <c r="X763" s="69"/>
      <c r="Y763" s="69"/>
      <c r="Z763" s="69"/>
      <c r="AA763" s="69"/>
      <c r="AB763" s="69"/>
    </row>
    <row r="764" spans="1:28">
      <c r="A764" s="67"/>
      <c r="B764" s="67"/>
      <c r="C764" s="68"/>
      <c r="F764" s="69"/>
      <c r="G764" s="69"/>
      <c r="H764" s="69"/>
      <c r="I764" s="69"/>
      <c r="J764" s="69"/>
      <c r="K764" s="69"/>
      <c r="L764" s="69"/>
      <c r="M764" s="69"/>
      <c r="N764" s="69"/>
      <c r="O764" s="69"/>
      <c r="P764" s="69"/>
      <c r="Q764" s="69"/>
      <c r="R764" s="69"/>
      <c r="S764" s="69"/>
      <c r="T764" s="69"/>
      <c r="U764" s="69"/>
      <c r="V764" s="69"/>
      <c r="W764" s="81"/>
      <c r="X764" s="69"/>
      <c r="Y764" s="69"/>
      <c r="Z764" s="69"/>
      <c r="AA764" s="69"/>
      <c r="AB764" s="69"/>
    </row>
    <row r="765" spans="1:28">
      <c r="A765" s="67"/>
      <c r="B765" s="67"/>
      <c r="C765" s="68"/>
      <c r="F765" s="69"/>
      <c r="G765" s="69"/>
      <c r="H765" s="69"/>
      <c r="I765" s="69"/>
      <c r="J765" s="69"/>
      <c r="K765" s="69"/>
      <c r="L765" s="69"/>
      <c r="M765" s="69"/>
      <c r="N765" s="69"/>
      <c r="O765" s="69"/>
      <c r="P765" s="69"/>
      <c r="Q765" s="69"/>
      <c r="R765" s="69"/>
      <c r="S765" s="69"/>
      <c r="T765" s="69"/>
      <c r="U765" s="69"/>
      <c r="V765" s="69"/>
      <c r="W765" s="81"/>
      <c r="X765" s="69"/>
      <c r="Y765" s="69"/>
      <c r="Z765" s="69"/>
      <c r="AA765" s="69"/>
      <c r="AB765" s="69"/>
    </row>
    <row r="766" spans="1:28">
      <c r="A766" s="67"/>
      <c r="B766" s="67"/>
      <c r="C766" s="68"/>
      <c r="F766" s="69"/>
      <c r="G766" s="69"/>
      <c r="H766" s="69"/>
      <c r="I766" s="69"/>
      <c r="J766" s="69"/>
      <c r="K766" s="69"/>
      <c r="L766" s="69"/>
      <c r="M766" s="69"/>
      <c r="N766" s="69"/>
      <c r="O766" s="69"/>
      <c r="P766" s="69"/>
      <c r="Q766" s="69"/>
      <c r="R766" s="69"/>
      <c r="S766" s="69"/>
      <c r="T766" s="69"/>
      <c r="U766" s="69"/>
      <c r="V766" s="69"/>
      <c r="W766" s="81"/>
      <c r="X766" s="69"/>
      <c r="Y766" s="69"/>
      <c r="Z766" s="69"/>
      <c r="AA766" s="69"/>
      <c r="AB766" s="69"/>
    </row>
    <row r="767" spans="1:28">
      <c r="A767" s="67"/>
      <c r="B767" s="67"/>
      <c r="C767" s="68"/>
      <c r="F767" s="69"/>
      <c r="G767" s="69"/>
      <c r="H767" s="69"/>
      <c r="I767" s="69"/>
      <c r="J767" s="69"/>
      <c r="K767" s="69"/>
      <c r="L767" s="69"/>
      <c r="M767" s="69"/>
      <c r="N767" s="69"/>
      <c r="O767" s="69"/>
      <c r="P767" s="69"/>
      <c r="Q767" s="69"/>
      <c r="R767" s="69"/>
      <c r="S767" s="69"/>
      <c r="T767" s="69"/>
      <c r="U767" s="69"/>
      <c r="V767" s="69"/>
      <c r="W767" s="81"/>
      <c r="X767" s="69"/>
      <c r="Y767" s="69"/>
      <c r="Z767" s="69"/>
      <c r="AA767" s="69"/>
      <c r="AB767" s="69"/>
    </row>
    <row r="768" spans="1:28">
      <c r="A768" s="67"/>
      <c r="B768" s="67"/>
      <c r="C768" s="68"/>
      <c r="F768" s="69"/>
      <c r="G768" s="69"/>
      <c r="H768" s="69"/>
      <c r="I768" s="69"/>
      <c r="J768" s="69"/>
      <c r="K768" s="69"/>
      <c r="L768" s="69"/>
      <c r="M768" s="69"/>
      <c r="N768" s="69"/>
      <c r="O768" s="69"/>
      <c r="P768" s="69"/>
      <c r="Q768" s="69"/>
      <c r="R768" s="69"/>
      <c r="S768" s="69"/>
      <c r="T768" s="69"/>
      <c r="U768" s="69"/>
      <c r="V768" s="69"/>
      <c r="W768" s="81"/>
      <c r="X768" s="69"/>
      <c r="Y768" s="69"/>
      <c r="Z768" s="69"/>
      <c r="AA768" s="69"/>
      <c r="AB768" s="69"/>
    </row>
    <row r="769" spans="1:28">
      <c r="A769" s="67"/>
      <c r="B769" s="67"/>
      <c r="C769" s="68"/>
      <c r="F769" s="69"/>
      <c r="G769" s="69"/>
      <c r="H769" s="69"/>
      <c r="I769" s="69"/>
      <c r="J769" s="69"/>
      <c r="K769" s="69"/>
      <c r="L769" s="69"/>
      <c r="M769" s="69"/>
      <c r="N769" s="69"/>
      <c r="O769" s="69"/>
      <c r="P769" s="69"/>
      <c r="Q769" s="69"/>
      <c r="R769" s="69"/>
      <c r="S769" s="69"/>
      <c r="T769" s="69"/>
      <c r="U769" s="69"/>
      <c r="V769" s="69"/>
      <c r="W769" s="81"/>
      <c r="X769" s="69"/>
      <c r="Y769" s="69"/>
      <c r="Z769" s="69"/>
      <c r="AA769" s="69"/>
      <c r="AB769" s="69"/>
    </row>
    <row r="770" spans="1:28">
      <c r="A770" s="67"/>
      <c r="B770" s="67"/>
      <c r="C770" s="68"/>
      <c r="F770" s="69"/>
      <c r="G770" s="69"/>
      <c r="H770" s="69"/>
      <c r="I770" s="69"/>
      <c r="J770" s="69"/>
      <c r="K770" s="69"/>
      <c r="L770" s="69"/>
      <c r="M770" s="69"/>
      <c r="N770" s="69"/>
      <c r="O770" s="69"/>
      <c r="P770" s="69"/>
      <c r="Q770" s="69"/>
      <c r="R770" s="69"/>
      <c r="S770" s="69"/>
      <c r="T770" s="69"/>
      <c r="U770" s="69"/>
      <c r="V770" s="69"/>
      <c r="W770" s="81"/>
      <c r="X770" s="69"/>
      <c r="Y770" s="69"/>
      <c r="Z770" s="69"/>
      <c r="AA770" s="69"/>
      <c r="AB770" s="69"/>
    </row>
    <row r="771" spans="1:28">
      <c r="A771" s="67"/>
      <c r="B771" s="67"/>
      <c r="C771" s="68"/>
      <c r="F771" s="69"/>
      <c r="G771" s="69"/>
      <c r="H771" s="69"/>
      <c r="I771" s="69"/>
      <c r="J771" s="69"/>
      <c r="K771" s="69"/>
      <c r="L771" s="69"/>
      <c r="M771" s="69"/>
      <c r="N771" s="69"/>
      <c r="O771" s="69"/>
      <c r="P771" s="69"/>
      <c r="Q771" s="69"/>
      <c r="R771" s="69"/>
      <c r="S771" s="69"/>
      <c r="T771" s="69"/>
      <c r="U771" s="69"/>
      <c r="V771" s="69"/>
      <c r="W771" s="81"/>
      <c r="X771" s="69"/>
      <c r="Y771" s="69"/>
      <c r="Z771" s="69"/>
      <c r="AA771" s="69"/>
      <c r="AB771" s="69"/>
    </row>
    <row r="772" spans="1:28">
      <c r="A772" s="67"/>
      <c r="B772" s="67"/>
      <c r="C772" s="68"/>
      <c r="F772" s="69"/>
      <c r="G772" s="69"/>
      <c r="H772" s="69"/>
      <c r="I772" s="69"/>
      <c r="J772" s="69"/>
      <c r="K772" s="69"/>
      <c r="L772" s="69"/>
      <c r="M772" s="69"/>
      <c r="N772" s="69"/>
      <c r="O772" s="69"/>
      <c r="P772" s="69"/>
      <c r="Q772" s="69"/>
      <c r="R772" s="69"/>
      <c r="S772" s="69"/>
      <c r="T772" s="69"/>
      <c r="U772" s="69"/>
      <c r="V772" s="69"/>
      <c r="W772" s="81"/>
      <c r="X772" s="69"/>
      <c r="Y772" s="69"/>
      <c r="Z772" s="69"/>
      <c r="AA772" s="69"/>
      <c r="AB772" s="69"/>
    </row>
    <row r="773" spans="1:28">
      <c r="A773" s="67"/>
      <c r="B773" s="67"/>
      <c r="C773" s="68"/>
      <c r="F773" s="69"/>
      <c r="G773" s="69"/>
      <c r="H773" s="69"/>
      <c r="I773" s="69"/>
      <c r="J773" s="69"/>
      <c r="K773" s="69"/>
      <c r="L773" s="69"/>
      <c r="M773" s="69"/>
      <c r="N773" s="69"/>
      <c r="O773" s="69"/>
      <c r="P773" s="69"/>
      <c r="Q773" s="69"/>
      <c r="R773" s="69"/>
      <c r="S773" s="69"/>
      <c r="T773" s="69"/>
      <c r="U773" s="69"/>
      <c r="V773" s="69"/>
      <c r="W773" s="81"/>
      <c r="X773" s="69"/>
      <c r="Y773" s="69"/>
      <c r="Z773" s="69"/>
      <c r="AA773" s="69"/>
      <c r="AB773" s="69"/>
    </row>
    <row r="774" spans="1:28">
      <c r="A774" s="67"/>
      <c r="B774" s="67"/>
      <c r="C774" s="68"/>
      <c r="F774" s="69"/>
      <c r="G774" s="69"/>
      <c r="H774" s="69"/>
      <c r="I774" s="69"/>
      <c r="J774" s="69"/>
      <c r="K774" s="69"/>
      <c r="L774" s="69"/>
      <c r="M774" s="69"/>
      <c r="N774" s="69"/>
      <c r="O774" s="69"/>
      <c r="P774" s="69"/>
      <c r="Q774" s="69"/>
      <c r="R774" s="69"/>
      <c r="S774" s="69"/>
      <c r="T774" s="69"/>
      <c r="U774" s="69"/>
      <c r="V774" s="69"/>
      <c r="W774" s="81"/>
      <c r="X774" s="69"/>
      <c r="Y774" s="69"/>
      <c r="Z774" s="69"/>
      <c r="AA774" s="69"/>
      <c r="AB774" s="69"/>
    </row>
    <row r="775" spans="1:28">
      <c r="A775" s="67"/>
      <c r="B775" s="67"/>
      <c r="C775" s="68"/>
      <c r="F775" s="69"/>
      <c r="G775" s="69"/>
      <c r="H775" s="69"/>
      <c r="I775" s="69"/>
      <c r="J775" s="69"/>
      <c r="K775" s="69"/>
      <c r="L775" s="69"/>
      <c r="M775" s="69"/>
      <c r="N775" s="69"/>
      <c r="O775" s="69"/>
      <c r="P775" s="69"/>
      <c r="Q775" s="69"/>
      <c r="R775" s="69"/>
      <c r="S775" s="69"/>
      <c r="T775" s="69"/>
      <c r="U775" s="69"/>
      <c r="V775" s="69"/>
      <c r="W775" s="81"/>
      <c r="X775" s="69"/>
      <c r="Y775" s="69"/>
      <c r="Z775" s="69"/>
      <c r="AA775" s="69"/>
      <c r="AB775" s="69"/>
    </row>
    <row r="776" spans="1:28">
      <c r="A776" s="67"/>
      <c r="B776" s="67"/>
      <c r="C776" s="68"/>
      <c r="F776" s="69"/>
      <c r="G776" s="69"/>
      <c r="H776" s="69"/>
      <c r="I776" s="69"/>
      <c r="J776" s="69"/>
      <c r="K776" s="69"/>
      <c r="L776" s="69"/>
      <c r="M776" s="69"/>
      <c r="N776" s="69"/>
      <c r="O776" s="69"/>
      <c r="P776" s="69"/>
      <c r="Q776" s="69"/>
      <c r="R776" s="69"/>
      <c r="S776" s="69"/>
      <c r="T776" s="69"/>
      <c r="U776" s="69"/>
      <c r="V776" s="69"/>
      <c r="W776" s="81"/>
      <c r="X776" s="69"/>
      <c r="Y776" s="69"/>
      <c r="Z776" s="69"/>
      <c r="AA776" s="69"/>
      <c r="AB776" s="69"/>
    </row>
    <row r="777" spans="1:28">
      <c r="A777" s="67"/>
      <c r="B777" s="67"/>
      <c r="C777" s="68"/>
      <c r="F777" s="69"/>
      <c r="G777" s="69"/>
      <c r="H777" s="69"/>
      <c r="I777" s="69"/>
      <c r="J777" s="69"/>
      <c r="K777" s="69"/>
      <c r="L777" s="69"/>
      <c r="M777" s="69"/>
      <c r="N777" s="69"/>
      <c r="O777" s="69"/>
      <c r="P777" s="69"/>
      <c r="Q777" s="69"/>
      <c r="R777" s="69"/>
      <c r="S777" s="69"/>
      <c r="T777" s="69"/>
      <c r="U777" s="69"/>
      <c r="V777" s="69"/>
      <c r="W777" s="81"/>
      <c r="X777" s="69"/>
      <c r="Y777" s="69"/>
      <c r="Z777" s="69"/>
      <c r="AA777" s="69"/>
      <c r="AB777" s="69"/>
    </row>
    <row r="778" spans="1:28">
      <c r="A778" s="67"/>
      <c r="B778" s="67"/>
      <c r="C778" s="68"/>
      <c r="F778" s="69"/>
      <c r="G778" s="69"/>
      <c r="H778" s="69"/>
      <c r="I778" s="69"/>
      <c r="J778" s="69"/>
      <c r="K778" s="69"/>
      <c r="L778" s="69"/>
      <c r="M778" s="69"/>
      <c r="N778" s="69"/>
      <c r="O778" s="69"/>
      <c r="P778" s="69"/>
      <c r="Q778" s="69"/>
      <c r="R778" s="69"/>
      <c r="S778" s="69"/>
      <c r="T778" s="69"/>
      <c r="U778" s="69"/>
      <c r="V778" s="69"/>
      <c r="W778" s="81"/>
      <c r="X778" s="69"/>
      <c r="Y778" s="69"/>
      <c r="Z778" s="69"/>
      <c r="AA778" s="69"/>
      <c r="AB778" s="69"/>
    </row>
    <row r="779" spans="1:28">
      <c r="A779" s="67"/>
      <c r="B779" s="67"/>
      <c r="C779" s="68"/>
      <c r="F779" s="69"/>
      <c r="G779" s="69"/>
      <c r="H779" s="69"/>
      <c r="I779" s="69"/>
      <c r="J779" s="69"/>
      <c r="K779" s="69"/>
      <c r="L779" s="69"/>
      <c r="M779" s="69"/>
      <c r="N779" s="69"/>
      <c r="O779" s="69"/>
      <c r="P779" s="69"/>
      <c r="Q779" s="69"/>
      <c r="R779" s="69"/>
      <c r="S779" s="69"/>
      <c r="T779" s="69"/>
      <c r="U779" s="69"/>
      <c r="V779" s="69"/>
      <c r="W779" s="81"/>
      <c r="X779" s="69"/>
      <c r="Y779" s="69"/>
      <c r="Z779" s="69"/>
      <c r="AA779" s="69"/>
      <c r="AB779" s="69"/>
    </row>
    <row r="780" spans="1:28">
      <c r="A780" s="67"/>
      <c r="B780" s="67"/>
      <c r="C780" s="68"/>
      <c r="F780" s="69"/>
      <c r="G780" s="69"/>
      <c r="H780" s="69"/>
      <c r="I780" s="69"/>
      <c r="J780" s="69"/>
      <c r="K780" s="69"/>
      <c r="L780" s="69"/>
      <c r="M780" s="69"/>
      <c r="N780" s="69"/>
      <c r="O780" s="69"/>
      <c r="P780" s="69"/>
      <c r="Q780" s="69"/>
      <c r="R780" s="69"/>
      <c r="S780" s="69"/>
      <c r="T780" s="69"/>
      <c r="U780" s="69"/>
      <c r="V780" s="69"/>
      <c r="W780" s="81"/>
      <c r="X780" s="69"/>
      <c r="Y780" s="69"/>
      <c r="Z780" s="69"/>
      <c r="AA780" s="69"/>
      <c r="AB780" s="69"/>
    </row>
    <row r="781" spans="1:28">
      <c r="A781" s="67"/>
      <c r="B781" s="67"/>
      <c r="C781" s="68"/>
      <c r="F781" s="69"/>
      <c r="G781" s="69"/>
      <c r="H781" s="69"/>
      <c r="I781" s="69"/>
      <c r="J781" s="69"/>
      <c r="K781" s="69"/>
      <c r="L781" s="69"/>
      <c r="M781" s="69"/>
      <c r="N781" s="69"/>
      <c r="O781" s="69"/>
      <c r="P781" s="69"/>
      <c r="Q781" s="69"/>
      <c r="R781" s="69"/>
      <c r="S781" s="69"/>
      <c r="T781" s="69"/>
      <c r="U781" s="69"/>
      <c r="V781" s="69"/>
      <c r="W781" s="81"/>
      <c r="X781" s="69"/>
      <c r="Y781" s="69"/>
      <c r="Z781" s="69"/>
      <c r="AA781" s="69"/>
      <c r="AB781" s="69"/>
    </row>
    <row r="782" spans="1:28">
      <c r="A782" s="67"/>
      <c r="B782" s="67"/>
      <c r="C782" s="68"/>
      <c r="F782" s="69"/>
      <c r="G782" s="69"/>
      <c r="H782" s="69"/>
      <c r="I782" s="69"/>
      <c r="J782" s="69"/>
      <c r="K782" s="69"/>
      <c r="L782" s="69"/>
      <c r="M782" s="69"/>
      <c r="N782" s="69"/>
      <c r="O782" s="69"/>
      <c r="P782" s="69"/>
      <c r="Q782" s="69"/>
      <c r="R782" s="69"/>
      <c r="S782" s="69"/>
      <c r="T782" s="69"/>
      <c r="U782" s="69"/>
      <c r="V782" s="69"/>
      <c r="W782" s="81"/>
      <c r="X782" s="69"/>
      <c r="Y782" s="69"/>
      <c r="Z782" s="69"/>
      <c r="AA782" s="69"/>
      <c r="AB782" s="69"/>
    </row>
    <row r="783" spans="1:28">
      <c r="A783" s="67"/>
      <c r="B783" s="67"/>
      <c r="C783" s="68"/>
      <c r="F783" s="69"/>
      <c r="G783" s="69"/>
      <c r="H783" s="69"/>
      <c r="I783" s="69"/>
      <c r="J783" s="69"/>
      <c r="K783" s="69"/>
      <c r="L783" s="69"/>
      <c r="M783" s="69"/>
      <c r="N783" s="69"/>
      <c r="O783" s="69"/>
      <c r="P783" s="69"/>
      <c r="Q783" s="69"/>
      <c r="R783" s="69"/>
      <c r="S783" s="69"/>
      <c r="T783" s="69"/>
      <c r="U783" s="69"/>
      <c r="V783" s="69"/>
      <c r="W783" s="81"/>
      <c r="X783" s="69"/>
      <c r="Y783" s="69"/>
      <c r="Z783" s="69"/>
      <c r="AA783" s="69"/>
      <c r="AB783" s="69"/>
    </row>
    <row r="784" spans="1:28">
      <c r="A784" s="67"/>
      <c r="B784" s="67"/>
      <c r="C784" s="68"/>
      <c r="F784" s="69"/>
      <c r="G784" s="69"/>
      <c r="H784" s="69"/>
      <c r="I784" s="69"/>
      <c r="J784" s="69"/>
      <c r="K784" s="69"/>
      <c r="L784" s="69"/>
      <c r="M784" s="69"/>
      <c r="N784" s="69"/>
      <c r="O784" s="69"/>
      <c r="P784" s="69"/>
      <c r="Q784" s="69"/>
      <c r="R784" s="69"/>
      <c r="S784" s="69"/>
      <c r="T784" s="69"/>
      <c r="U784" s="69"/>
      <c r="V784" s="69"/>
      <c r="W784" s="81"/>
      <c r="X784" s="69"/>
      <c r="Y784" s="69"/>
      <c r="Z784" s="69"/>
      <c r="AA784" s="69"/>
      <c r="AB784" s="69"/>
    </row>
    <row r="785" spans="1:28">
      <c r="A785" s="67"/>
      <c r="B785" s="67"/>
      <c r="C785" s="68"/>
      <c r="F785" s="69"/>
      <c r="G785" s="69"/>
      <c r="H785" s="69"/>
      <c r="I785" s="69"/>
      <c r="J785" s="69"/>
      <c r="K785" s="69"/>
      <c r="L785" s="69"/>
      <c r="M785" s="69"/>
      <c r="N785" s="69"/>
      <c r="O785" s="69"/>
      <c r="P785" s="69"/>
      <c r="Q785" s="69"/>
      <c r="R785" s="69"/>
      <c r="S785" s="69"/>
      <c r="T785" s="69"/>
      <c r="U785" s="69"/>
      <c r="V785" s="69"/>
      <c r="W785" s="81"/>
      <c r="X785" s="69"/>
      <c r="Y785" s="69"/>
      <c r="Z785" s="69"/>
      <c r="AA785" s="69"/>
      <c r="AB785" s="69"/>
    </row>
    <row r="786" spans="1:28">
      <c r="A786" s="67"/>
      <c r="B786" s="67"/>
      <c r="C786" s="68"/>
      <c r="F786" s="69"/>
      <c r="G786" s="69"/>
      <c r="H786" s="69"/>
      <c r="I786" s="69"/>
      <c r="J786" s="69"/>
      <c r="K786" s="69"/>
      <c r="L786" s="69"/>
      <c r="M786" s="69"/>
      <c r="N786" s="69"/>
      <c r="O786" s="69"/>
      <c r="P786" s="69"/>
      <c r="Q786" s="69"/>
      <c r="R786" s="69"/>
      <c r="S786" s="69"/>
      <c r="T786" s="69"/>
      <c r="U786" s="69"/>
      <c r="V786" s="69"/>
      <c r="W786" s="81"/>
      <c r="X786" s="69"/>
      <c r="Y786" s="69"/>
      <c r="Z786" s="69"/>
      <c r="AA786" s="69"/>
      <c r="AB786" s="69"/>
    </row>
    <row r="787" spans="1:28">
      <c r="A787" s="67"/>
      <c r="B787" s="67"/>
      <c r="C787" s="68"/>
      <c r="F787" s="69"/>
      <c r="G787" s="69"/>
      <c r="H787" s="69"/>
      <c r="I787" s="69"/>
      <c r="J787" s="69"/>
      <c r="K787" s="69"/>
      <c r="L787" s="69"/>
      <c r="M787" s="69"/>
      <c r="N787" s="69"/>
      <c r="O787" s="69"/>
      <c r="P787" s="69"/>
      <c r="Q787" s="69"/>
      <c r="R787" s="69"/>
      <c r="S787" s="69"/>
      <c r="T787" s="69"/>
      <c r="U787" s="69"/>
      <c r="V787" s="69"/>
      <c r="W787" s="81"/>
      <c r="X787" s="69"/>
      <c r="Y787" s="69"/>
      <c r="Z787" s="69"/>
      <c r="AA787" s="69"/>
      <c r="AB787" s="69"/>
    </row>
    <row r="788" spans="1:28">
      <c r="A788" s="67"/>
      <c r="B788" s="67"/>
      <c r="C788" s="68"/>
      <c r="F788" s="69"/>
      <c r="G788" s="69"/>
      <c r="H788" s="69"/>
      <c r="I788" s="69"/>
      <c r="J788" s="69"/>
      <c r="K788" s="69"/>
      <c r="L788" s="69"/>
      <c r="M788" s="69"/>
      <c r="N788" s="69"/>
      <c r="O788" s="69"/>
      <c r="P788" s="69"/>
      <c r="Q788" s="69"/>
      <c r="R788" s="69"/>
      <c r="S788" s="69"/>
      <c r="T788" s="69"/>
      <c r="U788" s="69"/>
      <c r="V788" s="69"/>
      <c r="W788" s="81"/>
      <c r="X788" s="69"/>
      <c r="Y788" s="69"/>
      <c r="Z788" s="69"/>
      <c r="AA788" s="69"/>
      <c r="AB788" s="69"/>
    </row>
    <row r="789" spans="1:28">
      <c r="A789" s="67"/>
      <c r="B789" s="67"/>
      <c r="C789" s="68"/>
      <c r="F789" s="69"/>
      <c r="G789" s="69"/>
      <c r="H789" s="69"/>
      <c r="I789" s="69"/>
      <c r="J789" s="69"/>
      <c r="K789" s="69"/>
      <c r="L789" s="69"/>
      <c r="M789" s="69"/>
      <c r="N789" s="69"/>
      <c r="O789" s="69"/>
      <c r="P789" s="69"/>
      <c r="Q789" s="69"/>
      <c r="R789" s="69"/>
      <c r="S789" s="69"/>
      <c r="T789" s="69"/>
      <c r="U789" s="69"/>
      <c r="V789" s="69"/>
      <c r="W789" s="81"/>
      <c r="X789" s="69"/>
      <c r="Y789" s="69"/>
      <c r="Z789" s="69"/>
      <c r="AA789" s="69"/>
      <c r="AB789" s="69"/>
    </row>
    <row r="790" spans="1:28">
      <c r="A790" s="67"/>
      <c r="B790" s="67"/>
      <c r="C790" s="68"/>
      <c r="F790" s="69"/>
      <c r="G790" s="69"/>
      <c r="H790" s="69"/>
      <c r="I790" s="69"/>
      <c r="J790" s="69"/>
      <c r="K790" s="69"/>
      <c r="L790" s="69"/>
      <c r="M790" s="69"/>
      <c r="N790" s="69"/>
      <c r="O790" s="69"/>
      <c r="P790" s="69"/>
      <c r="Q790" s="69"/>
      <c r="R790" s="69"/>
      <c r="S790" s="69"/>
      <c r="T790" s="69"/>
      <c r="U790" s="69"/>
      <c r="V790" s="69"/>
      <c r="W790" s="81"/>
      <c r="X790" s="69"/>
      <c r="Y790" s="69"/>
      <c r="Z790" s="69"/>
      <c r="AA790" s="69"/>
      <c r="AB790" s="69"/>
    </row>
    <row r="791" spans="1:28">
      <c r="A791" s="67"/>
      <c r="B791" s="67"/>
      <c r="C791" s="68"/>
      <c r="F791" s="69"/>
      <c r="G791" s="69"/>
      <c r="H791" s="69"/>
      <c r="I791" s="69"/>
      <c r="J791" s="69"/>
      <c r="K791" s="69"/>
      <c r="L791" s="69"/>
      <c r="M791" s="69"/>
      <c r="N791" s="69"/>
      <c r="O791" s="69"/>
      <c r="P791" s="69"/>
      <c r="Q791" s="69"/>
      <c r="R791" s="69"/>
      <c r="S791" s="69"/>
      <c r="T791" s="69"/>
      <c r="U791" s="69"/>
      <c r="V791" s="69"/>
      <c r="W791" s="81"/>
      <c r="X791" s="69"/>
      <c r="Y791" s="69"/>
      <c r="Z791" s="69"/>
      <c r="AA791" s="69"/>
      <c r="AB791" s="69"/>
    </row>
    <row r="792" spans="1:28">
      <c r="A792" s="67"/>
      <c r="B792" s="67"/>
      <c r="C792" s="68"/>
      <c r="F792" s="69"/>
      <c r="G792" s="69"/>
      <c r="H792" s="69"/>
      <c r="I792" s="69"/>
      <c r="J792" s="69"/>
      <c r="K792" s="69"/>
      <c r="L792" s="69"/>
      <c r="M792" s="69"/>
      <c r="N792" s="69"/>
      <c r="O792" s="69"/>
      <c r="P792" s="69"/>
      <c r="Q792" s="69"/>
      <c r="R792" s="69"/>
      <c r="S792" s="69"/>
      <c r="T792" s="69"/>
      <c r="U792" s="69"/>
      <c r="V792" s="69"/>
      <c r="W792" s="81"/>
      <c r="X792" s="69"/>
      <c r="Y792" s="69"/>
      <c r="Z792" s="69"/>
      <c r="AA792" s="69"/>
      <c r="AB792" s="69"/>
    </row>
    <row r="793" spans="1:28">
      <c r="A793" s="67"/>
      <c r="B793" s="67"/>
      <c r="C793" s="68"/>
      <c r="F793" s="69"/>
      <c r="G793" s="69"/>
      <c r="H793" s="69"/>
      <c r="I793" s="69"/>
      <c r="J793" s="69"/>
      <c r="K793" s="69"/>
      <c r="L793" s="69"/>
      <c r="M793" s="69"/>
      <c r="N793" s="69"/>
      <c r="O793" s="69"/>
      <c r="P793" s="69"/>
      <c r="Q793" s="69"/>
      <c r="R793" s="69"/>
      <c r="S793" s="69"/>
      <c r="T793" s="69"/>
      <c r="U793" s="69"/>
      <c r="V793" s="69"/>
      <c r="W793" s="81"/>
      <c r="X793" s="69"/>
      <c r="Y793" s="69"/>
      <c r="Z793" s="69"/>
      <c r="AA793" s="69"/>
      <c r="AB793" s="69"/>
    </row>
    <row r="794" spans="1:28">
      <c r="A794" s="67"/>
      <c r="B794" s="67"/>
      <c r="C794" s="68"/>
      <c r="F794" s="69"/>
      <c r="G794" s="69"/>
      <c r="H794" s="69"/>
      <c r="I794" s="69"/>
      <c r="J794" s="69"/>
      <c r="K794" s="69"/>
      <c r="L794" s="69"/>
      <c r="M794" s="69"/>
      <c r="N794" s="69"/>
      <c r="O794" s="69"/>
      <c r="P794" s="69"/>
      <c r="Q794" s="69"/>
      <c r="R794" s="69"/>
      <c r="S794" s="69"/>
      <c r="T794" s="69"/>
      <c r="U794" s="69"/>
      <c r="V794" s="69"/>
      <c r="W794" s="81"/>
      <c r="X794" s="69"/>
      <c r="Y794" s="69"/>
      <c r="Z794" s="69"/>
      <c r="AA794" s="69"/>
      <c r="AB794" s="69"/>
    </row>
    <row r="795" spans="1:28">
      <c r="A795" s="67"/>
      <c r="B795" s="67"/>
      <c r="C795" s="68"/>
      <c r="F795" s="69"/>
      <c r="G795" s="69"/>
      <c r="H795" s="69"/>
      <c r="I795" s="69"/>
      <c r="J795" s="69"/>
      <c r="K795" s="69"/>
      <c r="L795" s="69"/>
      <c r="M795" s="69"/>
      <c r="N795" s="69"/>
      <c r="O795" s="69"/>
      <c r="P795" s="69"/>
      <c r="Q795" s="69"/>
      <c r="R795" s="69"/>
      <c r="S795" s="69"/>
      <c r="T795" s="69"/>
      <c r="U795" s="69"/>
      <c r="V795" s="69"/>
      <c r="W795" s="81"/>
      <c r="X795" s="69"/>
      <c r="Y795" s="69"/>
      <c r="Z795" s="69"/>
      <c r="AA795" s="69"/>
      <c r="AB795" s="69"/>
    </row>
    <row r="796" spans="1:28">
      <c r="A796" s="67"/>
      <c r="B796" s="67"/>
      <c r="C796" s="68"/>
      <c r="F796" s="69"/>
      <c r="G796" s="69"/>
      <c r="H796" s="69"/>
      <c r="I796" s="69"/>
      <c r="J796" s="69"/>
      <c r="K796" s="69"/>
      <c r="L796" s="69"/>
      <c r="M796" s="69"/>
      <c r="N796" s="69"/>
      <c r="O796" s="69"/>
      <c r="P796" s="69"/>
      <c r="Q796" s="69"/>
      <c r="R796" s="69"/>
      <c r="S796" s="69"/>
      <c r="T796" s="69"/>
      <c r="U796" s="69"/>
      <c r="V796" s="69"/>
      <c r="W796" s="81"/>
      <c r="X796" s="69"/>
      <c r="Y796" s="69"/>
      <c r="Z796" s="69"/>
      <c r="AA796" s="69"/>
      <c r="AB796" s="69"/>
    </row>
    <row r="797" spans="1:28">
      <c r="A797" s="67"/>
      <c r="B797" s="67"/>
      <c r="C797" s="68"/>
      <c r="F797" s="69"/>
      <c r="G797" s="69"/>
      <c r="H797" s="69"/>
      <c r="I797" s="69"/>
      <c r="J797" s="69"/>
      <c r="K797" s="69"/>
      <c r="L797" s="69"/>
      <c r="M797" s="69"/>
      <c r="N797" s="69"/>
      <c r="O797" s="69"/>
      <c r="P797" s="69"/>
      <c r="Q797" s="69"/>
      <c r="R797" s="69"/>
      <c r="S797" s="69"/>
      <c r="T797" s="69"/>
      <c r="U797" s="69"/>
      <c r="V797" s="69"/>
      <c r="W797" s="81"/>
      <c r="X797" s="69"/>
      <c r="Y797" s="69"/>
      <c r="Z797" s="69"/>
      <c r="AA797" s="69"/>
      <c r="AB797" s="69"/>
    </row>
    <row r="798" spans="1:28">
      <c r="A798" s="67"/>
      <c r="B798" s="67"/>
      <c r="C798" s="68"/>
      <c r="F798" s="69"/>
      <c r="G798" s="69"/>
      <c r="H798" s="69"/>
      <c r="I798" s="69"/>
      <c r="J798" s="69"/>
      <c r="K798" s="69"/>
      <c r="L798" s="69"/>
      <c r="M798" s="69"/>
      <c r="N798" s="69"/>
      <c r="O798" s="69"/>
      <c r="P798" s="69"/>
      <c r="Q798" s="69"/>
      <c r="R798" s="69"/>
      <c r="S798" s="69"/>
      <c r="T798" s="69"/>
      <c r="U798" s="69"/>
      <c r="V798" s="69"/>
      <c r="W798" s="81"/>
      <c r="X798" s="69"/>
      <c r="Y798" s="69"/>
      <c r="Z798" s="69"/>
      <c r="AA798" s="69"/>
      <c r="AB798" s="69"/>
    </row>
    <row r="799" spans="1:28">
      <c r="A799" s="67"/>
      <c r="B799" s="67"/>
      <c r="C799" s="68"/>
      <c r="F799" s="69"/>
      <c r="G799" s="69"/>
      <c r="H799" s="69"/>
      <c r="I799" s="69"/>
      <c r="J799" s="69"/>
      <c r="K799" s="69"/>
      <c r="L799" s="69"/>
      <c r="M799" s="69"/>
      <c r="N799" s="69"/>
      <c r="O799" s="69"/>
      <c r="P799" s="69"/>
      <c r="Q799" s="69"/>
      <c r="R799" s="69"/>
      <c r="S799" s="69"/>
      <c r="T799" s="69"/>
      <c r="U799" s="69"/>
      <c r="V799" s="69"/>
      <c r="W799" s="81"/>
      <c r="X799" s="69"/>
      <c r="Y799" s="69"/>
      <c r="Z799" s="69"/>
      <c r="AA799" s="69"/>
      <c r="AB799" s="69"/>
    </row>
    <row r="800" spans="1:28">
      <c r="A800" s="67"/>
      <c r="B800" s="67"/>
      <c r="C800" s="68"/>
      <c r="F800" s="69"/>
      <c r="G800" s="69"/>
      <c r="H800" s="69"/>
      <c r="I800" s="69"/>
      <c r="J800" s="69"/>
      <c r="K800" s="69"/>
      <c r="L800" s="69"/>
      <c r="M800" s="69"/>
      <c r="N800" s="69"/>
      <c r="O800" s="69"/>
      <c r="P800" s="69"/>
      <c r="Q800" s="69"/>
      <c r="R800" s="69"/>
      <c r="S800" s="69"/>
      <c r="T800" s="69"/>
      <c r="U800" s="69"/>
      <c r="V800" s="69"/>
      <c r="W800" s="81"/>
      <c r="X800" s="69"/>
      <c r="Y800" s="69"/>
      <c r="Z800" s="69"/>
      <c r="AA800" s="69"/>
      <c r="AB800" s="69"/>
    </row>
    <row r="801" spans="1:28">
      <c r="A801" s="67"/>
      <c r="B801" s="67"/>
      <c r="C801" s="68"/>
      <c r="F801" s="69"/>
      <c r="G801" s="69"/>
      <c r="H801" s="69"/>
      <c r="I801" s="69"/>
      <c r="J801" s="69"/>
      <c r="K801" s="69"/>
      <c r="L801" s="69"/>
      <c r="M801" s="69"/>
      <c r="N801" s="69"/>
      <c r="O801" s="69"/>
      <c r="P801" s="69"/>
      <c r="Q801" s="69"/>
      <c r="R801" s="69"/>
      <c r="S801" s="69"/>
      <c r="T801" s="69"/>
      <c r="U801" s="69"/>
      <c r="V801" s="69"/>
      <c r="W801" s="81"/>
      <c r="X801" s="69"/>
      <c r="Y801" s="69"/>
      <c r="Z801" s="69"/>
      <c r="AA801" s="69"/>
      <c r="AB801" s="69"/>
    </row>
    <row r="802" spans="1:28">
      <c r="A802" s="67"/>
      <c r="B802" s="67"/>
      <c r="C802" s="68"/>
      <c r="F802" s="69"/>
      <c r="G802" s="69"/>
      <c r="H802" s="69"/>
      <c r="I802" s="69"/>
      <c r="J802" s="69"/>
      <c r="K802" s="69"/>
      <c r="L802" s="69"/>
      <c r="M802" s="69"/>
      <c r="N802" s="69"/>
      <c r="O802" s="69"/>
      <c r="P802" s="69"/>
      <c r="Q802" s="69"/>
      <c r="R802" s="69"/>
      <c r="S802" s="69"/>
      <c r="T802" s="69"/>
      <c r="U802" s="69"/>
      <c r="V802" s="69"/>
      <c r="W802" s="81"/>
      <c r="X802" s="69"/>
      <c r="Y802" s="69"/>
      <c r="Z802" s="69"/>
      <c r="AA802" s="69"/>
      <c r="AB802" s="69"/>
    </row>
    <row r="803" spans="1:28">
      <c r="A803" s="67"/>
      <c r="B803" s="67"/>
      <c r="C803" s="68"/>
      <c r="F803" s="69"/>
      <c r="G803" s="69"/>
      <c r="H803" s="69"/>
      <c r="I803" s="69"/>
      <c r="J803" s="69"/>
      <c r="K803" s="69"/>
      <c r="L803" s="69"/>
      <c r="M803" s="69"/>
      <c r="N803" s="69"/>
      <c r="O803" s="69"/>
      <c r="P803" s="69"/>
      <c r="Q803" s="69"/>
      <c r="R803" s="69"/>
      <c r="S803" s="69"/>
      <c r="T803" s="69"/>
      <c r="U803" s="69"/>
      <c r="V803" s="69"/>
      <c r="W803" s="81"/>
      <c r="X803" s="69"/>
      <c r="Y803" s="69"/>
      <c r="Z803" s="69"/>
      <c r="AA803" s="69"/>
      <c r="AB803" s="69"/>
    </row>
    <row r="804" spans="1:28">
      <c r="A804" s="67"/>
      <c r="B804" s="67"/>
      <c r="C804" s="68"/>
      <c r="F804" s="69"/>
      <c r="G804" s="69"/>
      <c r="H804" s="69"/>
      <c r="I804" s="69"/>
      <c r="J804" s="69"/>
      <c r="K804" s="69"/>
      <c r="L804" s="69"/>
      <c r="M804" s="69"/>
      <c r="N804" s="69"/>
      <c r="O804" s="69"/>
      <c r="P804" s="69"/>
      <c r="Q804" s="69"/>
      <c r="R804" s="69"/>
      <c r="S804" s="69"/>
      <c r="T804" s="69"/>
      <c r="U804" s="69"/>
      <c r="V804" s="69"/>
      <c r="W804" s="81"/>
      <c r="X804" s="69"/>
      <c r="Y804" s="69"/>
      <c r="Z804" s="69"/>
      <c r="AA804" s="69"/>
      <c r="AB804" s="69"/>
    </row>
    <row r="805" spans="1:28">
      <c r="A805" s="67"/>
      <c r="B805" s="67"/>
      <c r="C805" s="68"/>
      <c r="F805" s="69"/>
      <c r="G805" s="69"/>
      <c r="H805" s="69"/>
      <c r="I805" s="69"/>
      <c r="J805" s="69"/>
      <c r="K805" s="69"/>
      <c r="L805" s="69"/>
      <c r="M805" s="69"/>
      <c r="N805" s="69"/>
      <c r="O805" s="69"/>
      <c r="P805" s="69"/>
      <c r="Q805" s="69"/>
      <c r="R805" s="69"/>
      <c r="S805" s="69"/>
      <c r="T805" s="69"/>
      <c r="U805" s="69"/>
      <c r="V805" s="69"/>
      <c r="W805" s="81"/>
      <c r="X805" s="69"/>
      <c r="Y805" s="69"/>
      <c r="Z805" s="69"/>
      <c r="AA805" s="69"/>
      <c r="AB805" s="69"/>
    </row>
    <row r="806" spans="1:28">
      <c r="A806" s="67"/>
      <c r="B806" s="67"/>
      <c r="C806" s="68"/>
      <c r="F806" s="69"/>
      <c r="G806" s="69"/>
      <c r="H806" s="69"/>
      <c r="I806" s="69"/>
      <c r="J806" s="69"/>
      <c r="K806" s="69"/>
      <c r="L806" s="69"/>
      <c r="M806" s="69"/>
      <c r="N806" s="69"/>
      <c r="O806" s="69"/>
      <c r="P806" s="69"/>
      <c r="Q806" s="69"/>
      <c r="R806" s="69"/>
      <c r="S806" s="69"/>
      <c r="T806" s="69"/>
      <c r="U806" s="69"/>
      <c r="V806" s="69"/>
      <c r="W806" s="81"/>
      <c r="X806" s="69"/>
      <c r="Y806" s="69"/>
      <c r="Z806" s="69"/>
      <c r="AA806" s="69"/>
      <c r="AB806" s="69"/>
    </row>
    <row r="807" spans="1:28">
      <c r="A807" s="67"/>
      <c r="B807" s="67"/>
      <c r="C807" s="68"/>
      <c r="F807" s="69"/>
      <c r="G807" s="69"/>
      <c r="H807" s="69"/>
      <c r="I807" s="69"/>
      <c r="J807" s="69"/>
      <c r="K807" s="69"/>
      <c r="L807" s="69"/>
      <c r="M807" s="69"/>
      <c r="N807" s="69"/>
      <c r="O807" s="69"/>
      <c r="P807" s="69"/>
      <c r="Q807" s="69"/>
      <c r="R807" s="69"/>
      <c r="S807" s="69"/>
      <c r="T807" s="69"/>
      <c r="U807" s="69"/>
      <c r="V807" s="69"/>
      <c r="W807" s="81"/>
      <c r="X807" s="69"/>
      <c r="Y807" s="69"/>
      <c r="Z807" s="69"/>
      <c r="AA807" s="69"/>
      <c r="AB807" s="69"/>
    </row>
    <row r="808" spans="1:28">
      <c r="A808" s="67"/>
      <c r="B808" s="67"/>
      <c r="C808" s="68"/>
      <c r="F808" s="69"/>
      <c r="G808" s="69"/>
      <c r="H808" s="69"/>
      <c r="I808" s="69"/>
      <c r="J808" s="69"/>
      <c r="K808" s="69"/>
      <c r="L808" s="69"/>
      <c r="M808" s="69"/>
      <c r="N808" s="69"/>
      <c r="O808" s="69"/>
      <c r="P808" s="69"/>
      <c r="Q808" s="69"/>
      <c r="R808" s="69"/>
      <c r="S808" s="69"/>
      <c r="T808" s="69"/>
      <c r="U808" s="69"/>
      <c r="V808" s="69"/>
      <c r="W808" s="81"/>
      <c r="X808" s="69"/>
      <c r="Y808" s="69"/>
      <c r="Z808" s="69"/>
      <c r="AA808" s="69"/>
      <c r="AB808" s="69"/>
    </row>
    <row r="809" spans="1:28">
      <c r="A809" s="67"/>
      <c r="B809" s="67"/>
      <c r="C809" s="68"/>
      <c r="F809" s="69"/>
      <c r="G809" s="69"/>
      <c r="H809" s="69"/>
      <c r="I809" s="69"/>
      <c r="J809" s="69"/>
      <c r="K809" s="69"/>
      <c r="L809" s="69"/>
      <c r="M809" s="69"/>
      <c r="N809" s="69"/>
      <c r="O809" s="69"/>
      <c r="P809" s="69"/>
      <c r="Q809" s="69"/>
      <c r="R809" s="69"/>
      <c r="S809" s="69"/>
      <c r="T809" s="69"/>
      <c r="U809" s="69"/>
      <c r="V809" s="69"/>
      <c r="W809" s="81"/>
      <c r="X809" s="69"/>
      <c r="Y809" s="69"/>
      <c r="Z809" s="69"/>
      <c r="AA809" s="69"/>
      <c r="AB809" s="69"/>
    </row>
    <row r="810" spans="1:28">
      <c r="A810" s="67"/>
      <c r="B810" s="67"/>
      <c r="C810" s="68"/>
      <c r="F810" s="69"/>
      <c r="G810" s="69"/>
      <c r="H810" s="69"/>
      <c r="I810" s="69"/>
      <c r="J810" s="69"/>
      <c r="K810" s="69"/>
      <c r="L810" s="69"/>
      <c r="M810" s="69"/>
      <c r="N810" s="69"/>
      <c r="O810" s="69"/>
      <c r="P810" s="69"/>
      <c r="Q810" s="69"/>
      <c r="R810" s="69"/>
      <c r="S810" s="69"/>
      <c r="T810" s="69"/>
      <c r="U810" s="69"/>
      <c r="V810" s="69"/>
      <c r="W810" s="81"/>
      <c r="X810" s="69"/>
      <c r="Y810" s="69"/>
      <c r="Z810" s="69"/>
      <c r="AA810" s="69"/>
      <c r="AB810" s="69"/>
    </row>
    <row r="811" spans="1:28">
      <c r="A811" s="67"/>
      <c r="B811" s="67"/>
      <c r="C811" s="68"/>
      <c r="F811" s="69"/>
      <c r="G811" s="69"/>
      <c r="H811" s="69"/>
      <c r="I811" s="69"/>
      <c r="J811" s="69"/>
      <c r="K811" s="69"/>
      <c r="L811" s="69"/>
      <c r="M811" s="69"/>
      <c r="N811" s="69"/>
      <c r="O811" s="69"/>
      <c r="P811" s="69"/>
      <c r="Q811" s="69"/>
      <c r="R811" s="69"/>
      <c r="S811" s="69"/>
      <c r="T811" s="69"/>
      <c r="U811" s="69"/>
      <c r="V811" s="69"/>
      <c r="W811" s="81"/>
      <c r="X811" s="69"/>
      <c r="Y811" s="69"/>
      <c r="Z811" s="69"/>
      <c r="AA811" s="69"/>
      <c r="AB811" s="69"/>
    </row>
    <row r="812" spans="1:28">
      <c r="A812" s="67"/>
      <c r="B812" s="67"/>
      <c r="C812" s="68"/>
      <c r="F812" s="69"/>
      <c r="G812" s="69"/>
      <c r="H812" s="69"/>
      <c r="I812" s="69"/>
      <c r="J812" s="69"/>
      <c r="K812" s="69"/>
      <c r="L812" s="69"/>
      <c r="M812" s="69"/>
      <c r="N812" s="69"/>
      <c r="O812" s="69"/>
      <c r="P812" s="69"/>
      <c r="Q812" s="69"/>
      <c r="R812" s="69"/>
      <c r="S812" s="69"/>
      <c r="T812" s="69"/>
      <c r="U812" s="69"/>
      <c r="V812" s="69"/>
      <c r="W812" s="81"/>
      <c r="X812" s="69"/>
      <c r="Y812" s="69"/>
      <c r="Z812" s="69"/>
      <c r="AA812" s="69"/>
      <c r="AB812" s="69"/>
    </row>
    <row r="813" spans="1:28">
      <c r="A813" s="67"/>
      <c r="B813" s="67"/>
      <c r="C813" s="68"/>
      <c r="F813" s="69"/>
      <c r="G813" s="69"/>
      <c r="H813" s="69"/>
      <c r="I813" s="69"/>
      <c r="J813" s="69"/>
      <c r="K813" s="69"/>
      <c r="L813" s="69"/>
      <c r="M813" s="69"/>
      <c r="N813" s="69"/>
      <c r="O813" s="69"/>
      <c r="P813" s="69"/>
      <c r="Q813" s="69"/>
      <c r="R813" s="69"/>
      <c r="S813" s="69"/>
      <c r="T813" s="69"/>
      <c r="U813" s="69"/>
      <c r="V813" s="69"/>
      <c r="W813" s="81"/>
      <c r="X813" s="69"/>
      <c r="Y813" s="69"/>
      <c r="Z813" s="69"/>
      <c r="AA813" s="69"/>
      <c r="AB813" s="69"/>
    </row>
    <row r="814" spans="1:28">
      <c r="A814" s="67"/>
      <c r="B814" s="67"/>
      <c r="C814" s="68"/>
      <c r="F814" s="69"/>
      <c r="G814" s="69"/>
      <c r="H814" s="69"/>
      <c r="I814" s="69"/>
      <c r="J814" s="69"/>
      <c r="K814" s="69"/>
      <c r="L814" s="69"/>
      <c r="M814" s="69"/>
      <c r="N814" s="69"/>
      <c r="O814" s="69"/>
      <c r="P814" s="69"/>
      <c r="Q814" s="69"/>
      <c r="R814" s="69"/>
      <c r="S814" s="69"/>
      <c r="T814" s="69"/>
      <c r="U814" s="69"/>
      <c r="V814" s="69"/>
      <c r="W814" s="81"/>
      <c r="X814" s="69"/>
      <c r="Y814" s="69"/>
      <c r="Z814" s="69"/>
      <c r="AA814" s="69"/>
      <c r="AB814" s="69"/>
    </row>
    <row r="815" spans="1:28">
      <c r="A815" s="67"/>
      <c r="B815" s="67"/>
      <c r="C815" s="68"/>
      <c r="F815" s="69"/>
      <c r="G815" s="69"/>
      <c r="H815" s="69"/>
      <c r="I815" s="69"/>
      <c r="J815" s="69"/>
      <c r="K815" s="69"/>
      <c r="L815" s="69"/>
      <c r="M815" s="69"/>
      <c r="N815" s="69"/>
      <c r="O815" s="69"/>
      <c r="P815" s="69"/>
      <c r="Q815" s="69"/>
      <c r="R815" s="69"/>
      <c r="S815" s="69"/>
      <c r="T815" s="69"/>
      <c r="U815" s="69"/>
      <c r="V815" s="69"/>
      <c r="W815" s="81"/>
      <c r="X815" s="69"/>
      <c r="Y815" s="69"/>
      <c r="Z815" s="69"/>
      <c r="AA815" s="69"/>
      <c r="AB815" s="69"/>
    </row>
    <row r="816" spans="1:28">
      <c r="A816" s="67"/>
      <c r="B816" s="67"/>
      <c r="C816" s="68"/>
      <c r="F816" s="69"/>
      <c r="G816" s="69"/>
      <c r="H816" s="69"/>
      <c r="I816" s="69"/>
      <c r="J816" s="69"/>
      <c r="K816" s="69"/>
      <c r="L816" s="69"/>
      <c r="M816" s="69"/>
      <c r="N816" s="69"/>
      <c r="O816" s="69"/>
      <c r="P816" s="69"/>
      <c r="Q816" s="69"/>
      <c r="R816" s="69"/>
      <c r="S816" s="69"/>
      <c r="T816" s="69"/>
      <c r="U816" s="69"/>
      <c r="V816" s="69"/>
      <c r="W816" s="81"/>
      <c r="X816" s="69"/>
      <c r="Y816" s="69"/>
      <c r="Z816" s="69"/>
      <c r="AA816" s="69"/>
      <c r="AB816" s="69"/>
    </row>
    <row r="817" spans="1:28">
      <c r="A817" s="67"/>
      <c r="B817" s="67"/>
      <c r="C817" s="68"/>
      <c r="F817" s="69"/>
      <c r="G817" s="69"/>
      <c r="H817" s="69"/>
      <c r="I817" s="69"/>
      <c r="J817" s="69"/>
      <c r="K817" s="69"/>
      <c r="L817" s="69"/>
      <c r="M817" s="69"/>
      <c r="N817" s="69"/>
      <c r="O817" s="69"/>
      <c r="P817" s="69"/>
      <c r="Q817" s="69"/>
      <c r="R817" s="69"/>
      <c r="S817" s="69"/>
      <c r="T817" s="69"/>
      <c r="U817" s="69"/>
      <c r="V817" s="69"/>
      <c r="W817" s="81"/>
      <c r="X817" s="69"/>
      <c r="Y817" s="69"/>
      <c r="Z817" s="69"/>
      <c r="AA817" s="69"/>
      <c r="AB817" s="69"/>
    </row>
    <row r="818" spans="1:28">
      <c r="A818" s="67"/>
      <c r="B818" s="67"/>
      <c r="C818" s="68"/>
      <c r="F818" s="69"/>
      <c r="G818" s="69"/>
      <c r="H818" s="69"/>
      <c r="I818" s="69"/>
      <c r="J818" s="69"/>
      <c r="K818" s="69"/>
      <c r="L818" s="69"/>
      <c r="M818" s="69"/>
      <c r="N818" s="69"/>
      <c r="O818" s="69"/>
      <c r="P818" s="69"/>
      <c r="Q818" s="69"/>
      <c r="R818" s="69"/>
      <c r="S818" s="69"/>
      <c r="T818" s="69"/>
      <c r="U818" s="69"/>
      <c r="V818" s="69"/>
      <c r="W818" s="81"/>
      <c r="X818" s="69"/>
      <c r="Y818" s="69"/>
      <c r="Z818" s="69"/>
      <c r="AA818" s="69"/>
      <c r="AB818" s="69"/>
    </row>
    <row r="819" spans="1:28">
      <c r="A819" s="67"/>
      <c r="B819" s="67"/>
      <c r="C819" s="68"/>
      <c r="F819" s="69"/>
      <c r="G819" s="69"/>
      <c r="H819" s="69"/>
      <c r="I819" s="69"/>
      <c r="J819" s="69"/>
      <c r="K819" s="69"/>
      <c r="L819" s="69"/>
      <c r="M819" s="69"/>
      <c r="N819" s="69"/>
      <c r="O819" s="69"/>
      <c r="P819" s="69"/>
      <c r="Q819" s="69"/>
      <c r="R819" s="69"/>
      <c r="S819" s="69"/>
      <c r="T819" s="69"/>
      <c r="U819" s="69"/>
      <c r="V819" s="69"/>
      <c r="W819" s="81"/>
      <c r="X819" s="69"/>
      <c r="Y819" s="69"/>
      <c r="Z819" s="69"/>
      <c r="AA819" s="69"/>
      <c r="AB819" s="69"/>
    </row>
    <row r="820" spans="1:28">
      <c r="A820" s="67"/>
      <c r="B820" s="67"/>
      <c r="C820" s="68"/>
      <c r="F820" s="69"/>
      <c r="G820" s="69"/>
      <c r="H820" s="69"/>
      <c r="I820" s="69"/>
      <c r="J820" s="69"/>
      <c r="K820" s="69"/>
      <c r="L820" s="69"/>
      <c r="M820" s="69"/>
      <c r="N820" s="69"/>
      <c r="O820" s="69"/>
      <c r="P820" s="69"/>
      <c r="Q820" s="69"/>
      <c r="R820" s="69"/>
      <c r="S820" s="69"/>
      <c r="T820" s="69"/>
      <c r="U820" s="69"/>
      <c r="V820" s="69"/>
      <c r="W820" s="81"/>
      <c r="X820" s="69"/>
      <c r="Y820" s="69"/>
      <c r="Z820" s="69"/>
      <c r="AA820" s="69"/>
      <c r="AB820" s="69"/>
    </row>
    <row r="821" spans="1:28">
      <c r="A821" s="67"/>
      <c r="B821" s="67"/>
      <c r="C821" s="68"/>
      <c r="F821" s="69"/>
      <c r="G821" s="69"/>
      <c r="H821" s="69"/>
      <c r="I821" s="69"/>
      <c r="J821" s="69"/>
      <c r="K821" s="69"/>
      <c r="L821" s="69"/>
      <c r="M821" s="69"/>
      <c r="N821" s="69"/>
      <c r="O821" s="69"/>
      <c r="P821" s="69"/>
      <c r="Q821" s="69"/>
      <c r="R821" s="69"/>
      <c r="S821" s="69"/>
      <c r="T821" s="69"/>
      <c r="U821" s="69"/>
      <c r="V821" s="69"/>
      <c r="W821" s="81"/>
      <c r="X821" s="69"/>
      <c r="Y821" s="69"/>
      <c r="Z821" s="69"/>
      <c r="AA821" s="69"/>
      <c r="AB821" s="69"/>
    </row>
    <row r="822" spans="1:28">
      <c r="A822" s="67"/>
      <c r="B822" s="67"/>
      <c r="C822" s="68"/>
      <c r="F822" s="69"/>
      <c r="G822" s="69"/>
      <c r="H822" s="69"/>
      <c r="I822" s="69"/>
      <c r="J822" s="69"/>
      <c r="K822" s="69"/>
      <c r="L822" s="69"/>
      <c r="M822" s="69"/>
      <c r="N822" s="69"/>
      <c r="O822" s="69"/>
      <c r="P822" s="69"/>
      <c r="Q822" s="69"/>
      <c r="R822" s="69"/>
      <c r="S822" s="69"/>
      <c r="T822" s="69"/>
      <c r="U822" s="69"/>
      <c r="V822" s="69"/>
      <c r="W822" s="81"/>
      <c r="X822" s="69"/>
      <c r="Y822" s="69"/>
      <c r="Z822" s="69"/>
      <c r="AA822" s="69"/>
      <c r="AB822" s="69"/>
    </row>
    <row r="823" spans="1:28">
      <c r="A823" s="67"/>
      <c r="B823" s="67"/>
      <c r="C823" s="68"/>
      <c r="F823" s="69"/>
      <c r="G823" s="69"/>
      <c r="H823" s="69"/>
      <c r="I823" s="69"/>
      <c r="J823" s="69"/>
      <c r="K823" s="69"/>
      <c r="L823" s="69"/>
      <c r="M823" s="69"/>
      <c r="N823" s="69"/>
      <c r="O823" s="69"/>
      <c r="P823" s="69"/>
      <c r="Q823" s="69"/>
      <c r="R823" s="69"/>
      <c r="S823" s="69"/>
      <c r="T823" s="69"/>
      <c r="U823" s="69"/>
      <c r="V823" s="69"/>
      <c r="W823" s="81"/>
      <c r="X823" s="69"/>
      <c r="Y823" s="69"/>
      <c r="Z823" s="69"/>
      <c r="AA823" s="69"/>
      <c r="AB823" s="69"/>
    </row>
    <row r="824" spans="1:28">
      <c r="A824" s="67"/>
      <c r="B824" s="67"/>
      <c r="C824" s="68"/>
      <c r="F824" s="69"/>
      <c r="G824" s="69"/>
      <c r="H824" s="69"/>
      <c r="I824" s="69"/>
      <c r="J824" s="69"/>
      <c r="K824" s="69"/>
      <c r="L824" s="69"/>
      <c r="M824" s="69"/>
      <c r="N824" s="69"/>
      <c r="O824" s="69"/>
      <c r="P824" s="69"/>
      <c r="Q824" s="69"/>
      <c r="R824" s="69"/>
      <c r="S824" s="69"/>
      <c r="T824" s="69"/>
      <c r="U824" s="69"/>
      <c r="V824" s="69"/>
      <c r="W824" s="81"/>
      <c r="X824" s="69"/>
      <c r="Y824" s="69"/>
      <c r="Z824" s="69"/>
      <c r="AA824" s="69"/>
      <c r="AB824" s="69"/>
    </row>
    <row r="825" spans="1:28">
      <c r="A825" s="67"/>
      <c r="B825" s="67"/>
      <c r="C825" s="68"/>
      <c r="F825" s="69"/>
      <c r="G825" s="69"/>
      <c r="H825" s="69"/>
      <c r="I825" s="69"/>
      <c r="J825" s="69"/>
      <c r="K825" s="69"/>
      <c r="L825" s="69"/>
      <c r="M825" s="69"/>
      <c r="N825" s="69"/>
      <c r="O825" s="69"/>
      <c r="P825" s="69"/>
      <c r="Q825" s="69"/>
      <c r="R825" s="69"/>
      <c r="S825" s="69"/>
      <c r="T825" s="69"/>
      <c r="U825" s="69"/>
      <c r="V825" s="69"/>
      <c r="W825" s="81"/>
      <c r="X825" s="69"/>
      <c r="Y825" s="69"/>
      <c r="Z825" s="69"/>
      <c r="AA825" s="69"/>
      <c r="AB825" s="69"/>
    </row>
    <row r="826" spans="1:28">
      <c r="A826" s="67"/>
      <c r="B826" s="67"/>
      <c r="C826" s="68"/>
      <c r="F826" s="69"/>
      <c r="G826" s="69"/>
      <c r="H826" s="69"/>
      <c r="I826" s="69"/>
      <c r="J826" s="69"/>
      <c r="K826" s="69"/>
      <c r="L826" s="69"/>
      <c r="M826" s="69"/>
      <c r="N826" s="69"/>
      <c r="O826" s="69"/>
      <c r="P826" s="69"/>
      <c r="Q826" s="69"/>
      <c r="R826" s="69"/>
      <c r="S826" s="69"/>
      <c r="T826" s="69"/>
      <c r="U826" s="69"/>
      <c r="V826" s="69"/>
      <c r="W826" s="81"/>
      <c r="X826" s="69"/>
      <c r="Y826" s="69"/>
      <c r="Z826" s="69"/>
      <c r="AA826" s="69"/>
      <c r="AB826" s="69"/>
    </row>
    <row r="827" spans="1:28">
      <c r="A827" s="67"/>
      <c r="B827" s="67"/>
      <c r="C827" s="68"/>
      <c r="F827" s="69"/>
      <c r="G827" s="69"/>
      <c r="H827" s="69"/>
      <c r="I827" s="69"/>
      <c r="J827" s="69"/>
      <c r="K827" s="69"/>
      <c r="L827" s="69"/>
      <c r="M827" s="69"/>
      <c r="N827" s="69"/>
      <c r="O827" s="69"/>
      <c r="P827" s="69"/>
      <c r="Q827" s="69"/>
      <c r="R827" s="69"/>
      <c r="S827" s="69"/>
      <c r="T827" s="69"/>
      <c r="U827" s="69"/>
      <c r="V827" s="69"/>
      <c r="W827" s="81"/>
      <c r="X827" s="69"/>
      <c r="Y827" s="69"/>
      <c r="Z827" s="69"/>
      <c r="AA827" s="69"/>
      <c r="AB827" s="69"/>
    </row>
    <row r="828" spans="1:28">
      <c r="A828" s="67"/>
      <c r="B828" s="67"/>
      <c r="C828" s="68"/>
      <c r="F828" s="69"/>
      <c r="G828" s="69"/>
      <c r="H828" s="69"/>
      <c r="I828" s="69"/>
      <c r="J828" s="69"/>
      <c r="K828" s="69"/>
      <c r="L828" s="69"/>
      <c r="M828" s="69"/>
      <c r="N828" s="69"/>
      <c r="O828" s="69"/>
      <c r="P828" s="69"/>
      <c r="Q828" s="69"/>
      <c r="R828" s="69"/>
      <c r="S828" s="69"/>
      <c r="T828" s="69"/>
      <c r="U828" s="69"/>
      <c r="V828" s="69"/>
      <c r="W828" s="81"/>
      <c r="X828" s="69"/>
      <c r="Y828" s="69"/>
      <c r="Z828" s="69"/>
      <c r="AA828" s="69"/>
      <c r="AB828" s="69"/>
    </row>
    <row r="829" spans="1:28">
      <c r="A829" s="67"/>
      <c r="B829" s="67"/>
      <c r="C829" s="68"/>
      <c r="F829" s="69"/>
      <c r="G829" s="69"/>
      <c r="H829" s="69"/>
      <c r="I829" s="69"/>
      <c r="J829" s="69"/>
      <c r="K829" s="69"/>
      <c r="L829" s="69"/>
      <c r="M829" s="69"/>
      <c r="N829" s="69"/>
      <c r="O829" s="69"/>
      <c r="P829" s="69"/>
      <c r="Q829" s="69"/>
      <c r="R829" s="69"/>
      <c r="S829" s="69"/>
      <c r="T829" s="69"/>
      <c r="U829" s="69"/>
      <c r="V829" s="69"/>
      <c r="W829" s="81"/>
      <c r="X829" s="69"/>
      <c r="Y829" s="69"/>
      <c r="Z829" s="69"/>
      <c r="AA829" s="69"/>
      <c r="AB829" s="69"/>
    </row>
    <row r="830" spans="1:28">
      <c r="A830" s="67"/>
      <c r="B830" s="67"/>
      <c r="C830" s="68"/>
      <c r="F830" s="69"/>
      <c r="G830" s="69"/>
      <c r="H830" s="69"/>
      <c r="I830" s="69"/>
      <c r="J830" s="69"/>
      <c r="K830" s="69"/>
      <c r="L830" s="69"/>
      <c r="M830" s="69"/>
      <c r="N830" s="69"/>
      <c r="O830" s="69"/>
      <c r="P830" s="69"/>
      <c r="Q830" s="69"/>
      <c r="R830" s="69"/>
      <c r="S830" s="69"/>
      <c r="T830" s="69"/>
      <c r="U830" s="69"/>
      <c r="V830" s="69"/>
      <c r="W830" s="81"/>
      <c r="X830" s="69"/>
      <c r="Y830" s="69"/>
      <c r="Z830" s="69"/>
      <c r="AA830" s="69"/>
      <c r="AB830" s="69"/>
    </row>
    <row r="831" spans="1:28">
      <c r="A831" s="67"/>
      <c r="B831" s="67"/>
      <c r="C831" s="68"/>
      <c r="F831" s="69"/>
      <c r="G831" s="69"/>
      <c r="H831" s="69"/>
      <c r="I831" s="69"/>
      <c r="J831" s="69"/>
      <c r="K831" s="69"/>
      <c r="L831" s="69"/>
      <c r="M831" s="69"/>
      <c r="N831" s="69"/>
      <c r="O831" s="69"/>
      <c r="P831" s="69"/>
      <c r="Q831" s="69"/>
      <c r="R831" s="69"/>
      <c r="S831" s="69"/>
      <c r="T831" s="69"/>
      <c r="U831" s="69"/>
      <c r="V831" s="69"/>
      <c r="W831" s="81"/>
      <c r="X831" s="69"/>
      <c r="Y831" s="69"/>
      <c r="Z831" s="69"/>
      <c r="AA831" s="69"/>
      <c r="AB831" s="69"/>
    </row>
    <row r="832" spans="1:28">
      <c r="A832" s="67"/>
      <c r="B832" s="67"/>
      <c r="C832" s="68"/>
      <c r="F832" s="69"/>
      <c r="G832" s="69"/>
      <c r="H832" s="69"/>
      <c r="I832" s="69"/>
      <c r="J832" s="69"/>
      <c r="K832" s="69"/>
      <c r="L832" s="69"/>
      <c r="M832" s="69"/>
      <c r="N832" s="69"/>
      <c r="O832" s="69"/>
      <c r="P832" s="69"/>
      <c r="Q832" s="69"/>
      <c r="R832" s="69"/>
      <c r="S832" s="69"/>
      <c r="T832" s="69"/>
      <c r="U832" s="69"/>
      <c r="V832" s="69"/>
      <c r="W832" s="81"/>
      <c r="X832" s="69"/>
      <c r="Y832" s="69"/>
      <c r="Z832" s="69"/>
      <c r="AA832" s="69"/>
      <c r="AB832" s="69"/>
    </row>
    <row r="833" spans="1:28">
      <c r="A833" s="67"/>
      <c r="B833" s="67"/>
      <c r="C833" s="68"/>
      <c r="F833" s="69"/>
      <c r="G833" s="69"/>
      <c r="H833" s="69"/>
      <c r="I833" s="69"/>
      <c r="J833" s="69"/>
      <c r="K833" s="69"/>
      <c r="L833" s="69"/>
      <c r="M833" s="69"/>
      <c r="N833" s="69"/>
      <c r="O833" s="69"/>
      <c r="P833" s="69"/>
      <c r="Q833" s="69"/>
      <c r="R833" s="69"/>
      <c r="S833" s="69"/>
      <c r="T833" s="69"/>
      <c r="U833" s="69"/>
      <c r="V833" s="69"/>
      <c r="W833" s="81"/>
      <c r="X833" s="69"/>
      <c r="Y833" s="69"/>
      <c r="Z833" s="69"/>
      <c r="AA833" s="69"/>
      <c r="AB833" s="69"/>
    </row>
    <row r="834" spans="1:28">
      <c r="A834" s="67"/>
      <c r="B834" s="67"/>
      <c r="C834" s="68"/>
      <c r="F834" s="69"/>
      <c r="G834" s="69"/>
      <c r="H834" s="69"/>
      <c r="I834" s="69"/>
      <c r="J834" s="69"/>
      <c r="K834" s="69"/>
      <c r="L834" s="69"/>
      <c r="M834" s="69"/>
      <c r="N834" s="69"/>
      <c r="O834" s="69"/>
      <c r="P834" s="69"/>
      <c r="Q834" s="69"/>
      <c r="R834" s="69"/>
      <c r="S834" s="69"/>
      <c r="T834" s="69"/>
      <c r="U834" s="69"/>
      <c r="V834" s="69"/>
      <c r="W834" s="81"/>
      <c r="X834" s="69"/>
      <c r="Y834" s="69"/>
      <c r="Z834" s="69"/>
      <c r="AA834" s="69"/>
      <c r="AB834" s="69"/>
    </row>
    <row r="835" spans="1:28">
      <c r="A835" s="67"/>
      <c r="B835" s="67"/>
      <c r="C835" s="68"/>
      <c r="F835" s="69"/>
      <c r="G835" s="69"/>
      <c r="H835" s="69"/>
      <c r="I835" s="69"/>
      <c r="J835" s="69"/>
      <c r="K835" s="69"/>
      <c r="L835" s="69"/>
      <c r="M835" s="69"/>
      <c r="N835" s="69"/>
      <c r="O835" s="69"/>
      <c r="P835" s="69"/>
      <c r="Q835" s="69"/>
      <c r="R835" s="69"/>
      <c r="S835" s="69"/>
      <c r="T835" s="69"/>
      <c r="U835" s="69"/>
      <c r="V835" s="69"/>
      <c r="W835" s="81"/>
      <c r="X835" s="69"/>
      <c r="Y835" s="69"/>
      <c r="Z835" s="69"/>
      <c r="AA835" s="69"/>
      <c r="AB835" s="69"/>
    </row>
    <row r="836" spans="1:28">
      <c r="A836" s="67"/>
      <c r="B836" s="67"/>
      <c r="C836" s="68"/>
      <c r="F836" s="69"/>
      <c r="G836" s="69"/>
      <c r="H836" s="69"/>
      <c r="I836" s="69"/>
      <c r="J836" s="69"/>
      <c r="K836" s="69"/>
      <c r="L836" s="69"/>
      <c r="M836" s="69"/>
      <c r="N836" s="69"/>
      <c r="O836" s="69"/>
      <c r="P836" s="69"/>
      <c r="Q836" s="69"/>
      <c r="R836" s="69"/>
      <c r="S836" s="69"/>
      <c r="T836" s="69"/>
      <c r="U836" s="69"/>
      <c r="V836" s="69"/>
      <c r="W836" s="81"/>
      <c r="X836" s="69"/>
      <c r="Y836" s="69"/>
      <c r="Z836" s="69"/>
      <c r="AA836" s="69"/>
      <c r="AB836" s="69"/>
    </row>
    <row r="837" spans="1:28">
      <c r="A837" s="67"/>
      <c r="B837" s="67"/>
      <c r="C837" s="68"/>
      <c r="F837" s="69"/>
      <c r="G837" s="69"/>
      <c r="H837" s="69"/>
      <c r="I837" s="69"/>
      <c r="J837" s="69"/>
      <c r="K837" s="69"/>
      <c r="L837" s="69"/>
      <c r="M837" s="69"/>
      <c r="N837" s="69"/>
      <c r="O837" s="69"/>
      <c r="P837" s="69"/>
      <c r="Q837" s="69"/>
      <c r="R837" s="69"/>
      <c r="S837" s="69"/>
      <c r="T837" s="69"/>
      <c r="U837" s="69"/>
      <c r="V837" s="69"/>
      <c r="W837" s="81"/>
      <c r="X837" s="69"/>
      <c r="Y837" s="69"/>
      <c r="Z837" s="69"/>
      <c r="AA837" s="69"/>
      <c r="AB837" s="69"/>
    </row>
    <row r="838" spans="1:28">
      <c r="A838" s="67"/>
      <c r="B838" s="67"/>
      <c r="C838" s="68"/>
      <c r="F838" s="69"/>
      <c r="G838" s="69"/>
      <c r="H838" s="69"/>
      <c r="I838" s="69"/>
      <c r="J838" s="69"/>
      <c r="K838" s="69"/>
      <c r="L838" s="69"/>
      <c r="M838" s="69"/>
      <c r="N838" s="69"/>
      <c r="O838" s="69"/>
      <c r="P838" s="69"/>
      <c r="Q838" s="69"/>
      <c r="R838" s="69"/>
      <c r="S838" s="69"/>
      <c r="T838" s="69"/>
      <c r="U838" s="69"/>
      <c r="V838" s="69"/>
      <c r="W838" s="81"/>
      <c r="X838" s="69"/>
      <c r="Y838" s="69"/>
      <c r="Z838" s="69"/>
      <c r="AA838" s="69"/>
      <c r="AB838" s="69"/>
    </row>
    <row r="839" spans="1:28">
      <c r="A839" s="67"/>
      <c r="B839" s="67"/>
      <c r="C839" s="68"/>
      <c r="F839" s="69"/>
      <c r="G839" s="69"/>
      <c r="H839" s="69"/>
      <c r="I839" s="69"/>
      <c r="J839" s="69"/>
      <c r="K839" s="69"/>
      <c r="L839" s="69"/>
      <c r="M839" s="69"/>
      <c r="N839" s="69"/>
      <c r="O839" s="69"/>
      <c r="P839" s="69"/>
      <c r="Q839" s="69"/>
      <c r="R839" s="69"/>
      <c r="S839" s="69"/>
      <c r="T839" s="69"/>
      <c r="U839" s="69"/>
      <c r="V839" s="69"/>
      <c r="W839" s="81"/>
      <c r="X839" s="69"/>
      <c r="Y839" s="69"/>
      <c r="Z839" s="69"/>
      <c r="AA839" s="69"/>
      <c r="AB839" s="69"/>
    </row>
    <row r="840" spans="1:28">
      <c r="A840" s="67"/>
      <c r="B840" s="67"/>
      <c r="C840" s="68"/>
      <c r="F840" s="69"/>
      <c r="G840" s="69"/>
      <c r="H840" s="69"/>
      <c r="I840" s="69"/>
      <c r="J840" s="69"/>
      <c r="K840" s="69"/>
      <c r="L840" s="69"/>
      <c r="M840" s="69"/>
      <c r="N840" s="69"/>
      <c r="O840" s="69"/>
      <c r="P840" s="69"/>
      <c r="Q840" s="69"/>
      <c r="R840" s="69"/>
      <c r="S840" s="69"/>
      <c r="T840" s="69"/>
      <c r="U840" s="69"/>
      <c r="V840" s="69"/>
      <c r="W840" s="81"/>
      <c r="X840" s="69"/>
      <c r="Y840" s="69"/>
      <c r="Z840" s="69"/>
      <c r="AA840" s="69"/>
      <c r="AB840" s="69"/>
    </row>
    <row r="841" spans="1:28">
      <c r="A841" s="67"/>
      <c r="B841" s="67"/>
      <c r="C841" s="68"/>
      <c r="F841" s="69"/>
      <c r="G841" s="69"/>
      <c r="H841" s="69"/>
      <c r="I841" s="69"/>
      <c r="J841" s="69"/>
      <c r="K841" s="69"/>
      <c r="L841" s="69"/>
      <c r="M841" s="69"/>
      <c r="N841" s="69"/>
      <c r="O841" s="69"/>
      <c r="P841" s="69"/>
      <c r="Q841" s="69"/>
      <c r="R841" s="69"/>
      <c r="S841" s="69"/>
      <c r="T841" s="69"/>
      <c r="U841" s="69"/>
      <c r="V841" s="69"/>
      <c r="W841" s="81"/>
      <c r="X841" s="69"/>
      <c r="Y841" s="69"/>
      <c r="Z841" s="69"/>
      <c r="AA841" s="69"/>
      <c r="AB841" s="69"/>
    </row>
    <row r="842" spans="1:28">
      <c r="A842" s="67"/>
      <c r="B842" s="67"/>
      <c r="C842" s="68"/>
      <c r="F842" s="69"/>
      <c r="G842" s="69"/>
      <c r="H842" s="69"/>
      <c r="I842" s="69"/>
      <c r="J842" s="69"/>
      <c r="K842" s="69"/>
      <c r="L842" s="69"/>
      <c r="M842" s="69"/>
      <c r="N842" s="69"/>
      <c r="O842" s="69"/>
      <c r="P842" s="69"/>
      <c r="Q842" s="69"/>
      <c r="R842" s="69"/>
      <c r="S842" s="69"/>
      <c r="T842" s="69"/>
      <c r="U842" s="69"/>
      <c r="V842" s="69"/>
      <c r="W842" s="81"/>
      <c r="X842" s="69"/>
      <c r="Y842" s="69"/>
      <c r="Z842" s="69"/>
      <c r="AA842" s="69"/>
      <c r="AB842" s="69"/>
    </row>
    <row r="843" spans="1:28">
      <c r="A843" s="67"/>
      <c r="B843" s="67"/>
      <c r="C843" s="68"/>
      <c r="F843" s="69"/>
      <c r="G843" s="69"/>
      <c r="H843" s="69"/>
      <c r="I843" s="69"/>
      <c r="J843" s="69"/>
      <c r="K843" s="69"/>
      <c r="L843" s="69"/>
      <c r="M843" s="69"/>
      <c r="N843" s="69"/>
      <c r="O843" s="69"/>
      <c r="P843" s="69"/>
      <c r="Q843" s="69"/>
      <c r="R843" s="69"/>
      <c r="S843" s="69"/>
      <c r="T843" s="69"/>
      <c r="U843" s="69"/>
      <c r="V843" s="69"/>
      <c r="W843" s="81"/>
      <c r="X843" s="69"/>
      <c r="Y843" s="69"/>
      <c r="Z843" s="69"/>
      <c r="AA843" s="69"/>
      <c r="AB843" s="69"/>
    </row>
    <row r="844" spans="1:28">
      <c r="A844" s="67"/>
      <c r="B844" s="67"/>
      <c r="C844" s="68"/>
      <c r="F844" s="69"/>
      <c r="G844" s="69"/>
      <c r="H844" s="69"/>
      <c r="I844" s="69"/>
      <c r="J844" s="69"/>
      <c r="K844" s="69"/>
      <c r="L844" s="69"/>
      <c r="M844" s="69"/>
      <c r="N844" s="69"/>
      <c r="O844" s="69"/>
      <c r="P844" s="69"/>
      <c r="Q844" s="69"/>
      <c r="R844" s="69"/>
      <c r="S844" s="69"/>
      <c r="T844" s="69"/>
      <c r="U844" s="69"/>
      <c r="V844" s="69"/>
      <c r="W844" s="81"/>
      <c r="X844" s="69"/>
      <c r="Y844" s="69"/>
      <c r="Z844" s="69"/>
      <c r="AA844" s="69"/>
      <c r="AB844" s="69"/>
    </row>
    <row r="845" spans="1:28">
      <c r="A845" s="67"/>
      <c r="B845" s="67"/>
      <c r="C845" s="68"/>
      <c r="F845" s="69"/>
      <c r="G845" s="69"/>
      <c r="H845" s="69"/>
      <c r="I845" s="69"/>
      <c r="J845" s="69"/>
      <c r="K845" s="69"/>
      <c r="L845" s="69"/>
      <c r="M845" s="69"/>
      <c r="N845" s="69"/>
      <c r="O845" s="69"/>
      <c r="P845" s="69"/>
      <c r="Q845" s="69"/>
      <c r="R845" s="69"/>
      <c r="S845" s="69"/>
      <c r="T845" s="69"/>
      <c r="U845" s="69"/>
      <c r="V845" s="69"/>
      <c r="W845" s="81"/>
      <c r="X845" s="69"/>
      <c r="Y845" s="69"/>
      <c r="Z845" s="69"/>
      <c r="AA845" s="69"/>
      <c r="AB845" s="69"/>
    </row>
    <row r="846" spans="1:28">
      <c r="A846" s="67"/>
      <c r="B846" s="67"/>
      <c r="C846" s="68"/>
      <c r="F846" s="69"/>
      <c r="G846" s="69"/>
      <c r="H846" s="69"/>
      <c r="I846" s="69"/>
      <c r="J846" s="69"/>
      <c r="K846" s="69"/>
      <c r="L846" s="69"/>
      <c r="M846" s="69"/>
      <c r="N846" s="69"/>
      <c r="O846" s="69"/>
      <c r="P846" s="69"/>
      <c r="Q846" s="69"/>
      <c r="R846" s="69"/>
      <c r="S846" s="69"/>
      <c r="T846" s="69"/>
      <c r="U846" s="69"/>
      <c r="V846" s="69"/>
      <c r="W846" s="81"/>
      <c r="X846" s="69"/>
      <c r="Y846" s="69"/>
      <c r="Z846" s="69"/>
      <c r="AA846" s="69"/>
      <c r="AB846" s="69"/>
    </row>
    <row r="847" spans="1:28">
      <c r="A847" s="67"/>
      <c r="B847" s="67"/>
      <c r="C847" s="68"/>
      <c r="F847" s="69"/>
      <c r="G847" s="69"/>
      <c r="H847" s="69"/>
      <c r="I847" s="69"/>
      <c r="J847" s="69"/>
      <c r="K847" s="69"/>
      <c r="L847" s="69"/>
      <c r="M847" s="69"/>
      <c r="N847" s="69"/>
      <c r="O847" s="69"/>
      <c r="P847" s="69"/>
      <c r="Q847" s="69"/>
      <c r="R847" s="69"/>
      <c r="S847" s="69"/>
      <c r="T847" s="69"/>
      <c r="U847" s="69"/>
      <c r="V847" s="69"/>
      <c r="W847" s="81"/>
      <c r="X847" s="69"/>
      <c r="Y847" s="69"/>
      <c r="Z847" s="69"/>
      <c r="AA847" s="69"/>
      <c r="AB847" s="69"/>
    </row>
    <row r="848" spans="1:28">
      <c r="A848" s="67"/>
      <c r="B848" s="67"/>
      <c r="C848" s="68"/>
      <c r="F848" s="69"/>
      <c r="G848" s="69"/>
      <c r="H848" s="69"/>
      <c r="I848" s="69"/>
      <c r="J848" s="69"/>
      <c r="K848" s="69"/>
      <c r="L848" s="69"/>
      <c r="M848" s="69"/>
      <c r="N848" s="69"/>
      <c r="O848" s="69"/>
      <c r="P848" s="69"/>
      <c r="Q848" s="69"/>
      <c r="R848" s="69"/>
      <c r="S848" s="69"/>
      <c r="T848" s="69"/>
      <c r="U848" s="69"/>
      <c r="V848" s="69"/>
      <c r="W848" s="81"/>
      <c r="X848" s="69"/>
      <c r="Y848" s="69"/>
      <c r="Z848" s="69"/>
      <c r="AA848" s="69"/>
      <c r="AB848" s="69"/>
    </row>
    <row r="849" spans="1:28">
      <c r="A849" s="67"/>
      <c r="B849" s="67"/>
      <c r="C849" s="68"/>
      <c r="F849" s="69"/>
      <c r="G849" s="69"/>
      <c r="H849" s="69"/>
      <c r="I849" s="69"/>
      <c r="J849" s="69"/>
      <c r="K849" s="69"/>
      <c r="L849" s="69"/>
      <c r="M849" s="69"/>
      <c r="N849" s="69"/>
      <c r="O849" s="69"/>
      <c r="P849" s="69"/>
      <c r="Q849" s="69"/>
      <c r="R849" s="69"/>
      <c r="S849" s="69"/>
      <c r="T849" s="69"/>
      <c r="U849" s="69"/>
      <c r="V849" s="69"/>
      <c r="W849" s="81"/>
      <c r="X849" s="69"/>
      <c r="Y849" s="69"/>
      <c r="Z849" s="69"/>
      <c r="AA849" s="69"/>
      <c r="AB849" s="69"/>
    </row>
    <row r="850" spans="1:28">
      <c r="A850" s="67"/>
      <c r="B850" s="67"/>
      <c r="C850" s="68"/>
      <c r="F850" s="69"/>
      <c r="G850" s="69"/>
      <c r="H850" s="69"/>
      <c r="I850" s="69"/>
      <c r="J850" s="69"/>
      <c r="K850" s="69"/>
      <c r="L850" s="69"/>
      <c r="M850" s="69"/>
      <c r="N850" s="69"/>
      <c r="O850" s="69"/>
      <c r="P850" s="69"/>
      <c r="Q850" s="69"/>
      <c r="R850" s="69"/>
      <c r="S850" s="69"/>
      <c r="T850" s="69"/>
      <c r="U850" s="69"/>
      <c r="V850" s="69"/>
      <c r="W850" s="81"/>
      <c r="X850" s="69"/>
      <c r="Y850" s="69"/>
      <c r="Z850" s="69"/>
      <c r="AA850" s="69"/>
      <c r="AB850" s="69"/>
    </row>
    <row r="851" spans="1:28">
      <c r="A851" s="67"/>
      <c r="B851" s="67"/>
      <c r="C851" s="68"/>
      <c r="F851" s="69"/>
      <c r="G851" s="69"/>
      <c r="H851" s="69"/>
      <c r="I851" s="69"/>
      <c r="J851" s="69"/>
      <c r="K851" s="69"/>
      <c r="L851" s="69"/>
      <c r="M851" s="69"/>
      <c r="N851" s="69"/>
      <c r="O851" s="69"/>
      <c r="P851" s="69"/>
      <c r="Q851" s="69"/>
      <c r="R851" s="69"/>
      <c r="S851" s="69"/>
      <c r="T851" s="69"/>
      <c r="U851" s="69"/>
      <c r="V851" s="69"/>
      <c r="W851" s="81"/>
      <c r="X851" s="69"/>
      <c r="Y851" s="69"/>
      <c r="Z851" s="69"/>
      <c r="AA851" s="69"/>
      <c r="AB851" s="69"/>
    </row>
    <row r="852" spans="1:28">
      <c r="A852" s="67"/>
      <c r="B852" s="67"/>
      <c r="C852" s="68"/>
      <c r="F852" s="69"/>
      <c r="G852" s="69"/>
      <c r="H852" s="69"/>
      <c r="I852" s="69"/>
      <c r="J852" s="69"/>
      <c r="K852" s="69"/>
      <c r="L852" s="69"/>
      <c r="M852" s="69"/>
      <c r="N852" s="69"/>
      <c r="O852" s="69"/>
      <c r="P852" s="69"/>
      <c r="Q852" s="69"/>
      <c r="R852" s="69"/>
      <c r="S852" s="69"/>
      <c r="T852" s="69"/>
      <c r="U852" s="69"/>
      <c r="V852" s="69"/>
      <c r="W852" s="81"/>
      <c r="X852" s="69"/>
      <c r="Y852" s="69"/>
      <c r="Z852" s="69"/>
      <c r="AA852" s="69"/>
      <c r="AB852" s="69"/>
    </row>
    <row r="853" spans="1:28">
      <c r="A853" s="67"/>
      <c r="B853" s="67"/>
      <c r="C853" s="68"/>
      <c r="F853" s="69"/>
      <c r="G853" s="69"/>
      <c r="H853" s="69"/>
      <c r="I853" s="69"/>
      <c r="J853" s="69"/>
      <c r="K853" s="69"/>
      <c r="L853" s="69"/>
      <c r="M853" s="69"/>
      <c r="N853" s="69"/>
      <c r="O853" s="69"/>
      <c r="P853" s="69"/>
      <c r="Q853" s="69"/>
      <c r="R853" s="69"/>
      <c r="S853" s="69"/>
      <c r="T853" s="69"/>
      <c r="U853" s="69"/>
      <c r="V853" s="69"/>
      <c r="W853" s="81"/>
      <c r="X853" s="69"/>
      <c r="Y853" s="69"/>
      <c r="Z853" s="69"/>
      <c r="AA853" s="69"/>
      <c r="AB853" s="69"/>
    </row>
    <row r="854" spans="1:28">
      <c r="A854" s="67"/>
      <c r="B854" s="67"/>
      <c r="C854" s="68"/>
      <c r="F854" s="69"/>
      <c r="G854" s="69"/>
      <c r="H854" s="69"/>
      <c r="I854" s="69"/>
      <c r="J854" s="69"/>
      <c r="K854" s="69"/>
      <c r="L854" s="69"/>
      <c r="M854" s="69"/>
      <c r="N854" s="69"/>
      <c r="O854" s="69"/>
      <c r="P854" s="69"/>
      <c r="Q854" s="69"/>
      <c r="R854" s="69"/>
      <c r="S854" s="69"/>
      <c r="T854" s="69"/>
      <c r="U854" s="69"/>
      <c r="V854" s="69"/>
      <c r="W854" s="81"/>
      <c r="X854" s="69"/>
      <c r="Y854" s="69"/>
      <c r="Z854" s="69"/>
      <c r="AA854" s="69"/>
      <c r="AB854" s="69"/>
    </row>
    <row r="855" spans="1:28">
      <c r="A855" s="67"/>
      <c r="B855" s="67"/>
      <c r="C855" s="68"/>
      <c r="F855" s="69"/>
      <c r="G855" s="69"/>
      <c r="H855" s="69"/>
      <c r="I855" s="69"/>
      <c r="J855" s="69"/>
      <c r="K855" s="69"/>
      <c r="L855" s="69"/>
      <c r="M855" s="69"/>
      <c r="N855" s="69"/>
      <c r="O855" s="69"/>
      <c r="P855" s="69"/>
      <c r="Q855" s="69"/>
      <c r="R855" s="69"/>
      <c r="S855" s="69"/>
      <c r="T855" s="69"/>
      <c r="U855" s="69"/>
      <c r="V855" s="69"/>
      <c r="W855" s="81"/>
      <c r="X855" s="69"/>
      <c r="Y855" s="69"/>
      <c r="Z855" s="69"/>
      <c r="AA855" s="69"/>
      <c r="AB855" s="69"/>
    </row>
    <row r="856" spans="1:28">
      <c r="A856" s="67"/>
      <c r="B856" s="67"/>
      <c r="C856" s="68"/>
      <c r="F856" s="69"/>
      <c r="G856" s="69"/>
      <c r="H856" s="69"/>
      <c r="I856" s="69"/>
      <c r="J856" s="69"/>
      <c r="K856" s="69"/>
      <c r="L856" s="69"/>
      <c r="M856" s="69"/>
      <c r="N856" s="69"/>
      <c r="O856" s="69"/>
      <c r="P856" s="69"/>
      <c r="Q856" s="69"/>
      <c r="R856" s="69"/>
      <c r="S856" s="69"/>
      <c r="T856" s="69"/>
      <c r="U856" s="69"/>
      <c r="V856" s="69"/>
      <c r="W856" s="81"/>
      <c r="X856" s="69"/>
      <c r="Y856" s="69"/>
      <c r="Z856" s="69"/>
      <c r="AA856" s="69"/>
      <c r="AB856" s="69"/>
    </row>
    <row r="857" spans="1:28">
      <c r="A857" s="67"/>
      <c r="B857" s="67"/>
      <c r="C857" s="68"/>
      <c r="F857" s="69"/>
      <c r="G857" s="69"/>
      <c r="H857" s="69"/>
      <c r="I857" s="69"/>
      <c r="J857" s="69"/>
      <c r="K857" s="69"/>
      <c r="L857" s="69"/>
      <c r="M857" s="69"/>
      <c r="N857" s="69"/>
      <c r="O857" s="69"/>
      <c r="P857" s="69"/>
      <c r="Q857" s="69"/>
      <c r="R857" s="69"/>
      <c r="S857" s="69"/>
      <c r="T857" s="69"/>
      <c r="U857" s="69"/>
      <c r="V857" s="69"/>
      <c r="W857" s="81"/>
      <c r="X857" s="69"/>
      <c r="Y857" s="69"/>
      <c r="Z857" s="69"/>
      <c r="AA857" s="69"/>
      <c r="AB857" s="69"/>
    </row>
    <row r="858" spans="1:28">
      <c r="A858" s="67"/>
      <c r="B858" s="67"/>
      <c r="C858" s="68"/>
      <c r="F858" s="69"/>
      <c r="G858" s="69"/>
      <c r="H858" s="69"/>
      <c r="I858" s="69"/>
      <c r="J858" s="69"/>
      <c r="K858" s="69"/>
      <c r="L858" s="69"/>
      <c r="M858" s="69"/>
      <c r="N858" s="69"/>
      <c r="O858" s="69"/>
      <c r="P858" s="69"/>
      <c r="Q858" s="69"/>
      <c r="R858" s="69"/>
      <c r="S858" s="69"/>
      <c r="T858" s="69"/>
      <c r="U858" s="69"/>
      <c r="V858" s="69"/>
      <c r="W858" s="81"/>
      <c r="X858" s="69"/>
      <c r="Y858" s="69"/>
      <c r="Z858" s="69"/>
      <c r="AA858" s="69"/>
      <c r="AB858" s="69"/>
    </row>
    <row r="859" spans="1:28">
      <c r="A859" s="67"/>
      <c r="B859" s="67"/>
      <c r="C859" s="68"/>
      <c r="F859" s="69"/>
      <c r="G859" s="69"/>
      <c r="H859" s="69"/>
      <c r="I859" s="69"/>
      <c r="J859" s="69"/>
      <c r="K859" s="69"/>
      <c r="L859" s="69"/>
      <c r="M859" s="69"/>
      <c r="N859" s="69"/>
      <c r="O859" s="69"/>
      <c r="P859" s="69"/>
      <c r="Q859" s="69"/>
      <c r="R859" s="69"/>
      <c r="S859" s="69"/>
      <c r="T859" s="69"/>
      <c r="U859" s="69"/>
      <c r="V859" s="69"/>
      <c r="W859" s="81"/>
      <c r="X859" s="69"/>
      <c r="Y859" s="69"/>
      <c r="Z859" s="69"/>
      <c r="AA859" s="69"/>
      <c r="AB859" s="69"/>
    </row>
    <row r="860" spans="1:28">
      <c r="A860" s="67"/>
      <c r="B860" s="67"/>
      <c r="C860" s="68"/>
      <c r="F860" s="69"/>
      <c r="G860" s="69"/>
      <c r="H860" s="69"/>
      <c r="I860" s="69"/>
      <c r="J860" s="69"/>
      <c r="K860" s="69"/>
      <c r="L860" s="69"/>
      <c r="M860" s="69"/>
      <c r="N860" s="69"/>
      <c r="O860" s="69"/>
      <c r="P860" s="69"/>
      <c r="Q860" s="69"/>
      <c r="R860" s="69"/>
      <c r="S860" s="69"/>
      <c r="T860" s="69"/>
      <c r="U860" s="69"/>
      <c r="V860" s="69"/>
      <c r="W860" s="81"/>
      <c r="X860" s="69"/>
      <c r="Y860" s="69"/>
      <c r="Z860" s="69"/>
      <c r="AA860" s="69"/>
      <c r="AB860" s="69"/>
    </row>
    <row r="861" spans="1:28">
      <c r="A861" s="67"/>
      <c r="B861" s="67"/>
      <c r="C861" s="68"/>
      <c r="F861" s="69"/>
      <c r="G861" s="69"/>
      <c r="H861" s="69"/>
      <c r="I861" s="69"/>
      <c r="J861" s="69"/>
      <c r="K861" s="69"/>
      <c r="L861" s="69"/>
      <c r="M861" s="69"/>
      <c r="N861" s="69"/>
      <c r="O861" s="69"/>
      <c r="P861" s="69"/>
      <c r="Q861" s="69"/>
      <c r="R861" s="69"/>
      <c r="S861" s="69"/>
      <c r="T861" s="69"/>
      <c r="U861" s="69"/>
      <c r="V861" s="69"/>
      <c r="W861" s="81"/>
      <c r="X861" s="69"/>
      <c r="Y861" s="69"/>
      <c r="Z861" s="69"/>
      <c r="AA861" s="69"/>
      <c r="AB861" s="69"/>
    </row>
    <row r="862" spans="1:28">
      <c r="A862" s="67"/>
      <c r="B862" s="67"/>
      <c r="C862" s="68"/>
      <c r="F862" s="69"/>
      <c r="G862" s="69"/>
      <c r="H862" s="69"/>
      <c r="I862" s="69"/>
      <c r="J862" s="69"/>
      <c r="K862" s="69"/>
      <c r="L862" s="69"/>
      <c r="M862" s="69"/>
      <c r="N862" s="69"/>
      <c r="O862" s="69"/>
      <c r="P862" s="69"/>
      <c r="Q862" s="69"/>
      <c r="R862" s="69"/>
      <c r="S862" s="69"/>
      <c r="T862" s="69"/>
      <c r="U862" s="69"/>
      <c r="V862" s="69"/>
      <c r="W862" s="81"/>
      <c r="X862" s="69"/>
      <c r="Y862" s="69"/>
      <c r="Z862" s="69"/>
      <c r="AA862" s="69"/>
      <c r="AB862" s="69"/>
    </row>
    <row r="863" spans="1:28">
      <c r="A863" s="67"/>
      <c r="B863" s="67"/>
      <c r="C863" s="68"/>
      <c r="F863" s="69"/>
      <c r="G863" s="69"/>
      <c r="H863" s="69"/>
      <c r="I863" s="69"/>
      <c r="J863" s="69"/>
      <c r="K863" s="69"/>
      <c r="L863" s="69"/>
      <c r="M863" s="69"/>
      <c r="N863" s="69"/>
      <c r="O863" s="69"/>
      <c r="P863" s="69"/>
      <c r="Q863" s="69"/>
      <c r="R863" s="69"/>
      <c r="S863" s="69"/>
      <c r="T863" s="69"/>
      <c r="U863" s="69"/>
      <c r="V863" s="69"/>
      <c r="W863" s="81"/>
      <c r="X863" s="69"/>
      <c r="Y863" s="69"/>
      <c r="Z863" s="69"/>
      <c r="AA863" s="69"/>
      <c r="AB863" s="69"/>
    </row>
    <row r="864" spans="1:28">
      <c r="A864" s="67"/>
      <c r="B864" s="67"/>
      <c r="C864" s="68"/>
      <c r="F864" s="69"/>
      <c r="G864" s="69"/>
      <c r="H864" s="69"/>
      <c r="I864" s="69"/>
      <c r="J864" s="69"/>
      <c r="K864" s="69"/>
      <c r="L864" s="69"/>
      <c r="M864" s="69"/>
      <c r="N864" s="69"/>
      <c r="O864" s="69"/>
      <c r="P864" s="69"/>
      <c r="Q864" s="69"/>
      <c r="R864" s="69"/>
      <c r="S864" s="69"/>
      <c r="T864" s="69"/>
      <c r="U864" s="69"/>
      <c r="V864" s="69"/>
      <c r="W864" s="81"/>
      <c r="X864" s="69"/>
      <c r="Y864" s="69"/>
      <c r="Z864" s="69"/>
      <c r="AA864" s="69"/>
      <c r="AB864" s="69"/>
    </row>
    <row r="865" spans="1:28">
      <c r="A865" s="67"/>
      <c r="B865" s="67"/>
      <c r="C865" s="68"/>
      <c r="F865" s="69"/>
      <c r="G865" s="69"/>
      <c r="H865" s="69"/>
      <c r="I865" s="69"/>
      <c r="J865" s="69"/>
      <c r="K865" s="69"/>
      <c r="L865" s="69"/>
      <c r="M865" s="69"/>
      <c r="N865" s="69"/>
      <c r="O865" s="69"/>
      <c r="P865" s="69"/>
      <c r="Q865" s="69"/>
      <c r="R865" s="69"/>
      <c r="S865" s="69"/>
      <c r="T865" s="69"/>
      <c r="U865" s="69"/>
      <c r="V865" s="69"/>
      <c r="W865" s="81"/>
      <c r="X865" s="69"/>
      <c r="Y865" s="69"/>
      <c r="Z865" s="69"/>
      <c r="AA865" s="69"/>
      <c r="AB865" s="69"/>
    </row>
    <row r="866" spans="1:28">
      <c r="A866" s="67"/>
      <c r="B866" s="67"/>
      <c r="C866" s="68"/>
      <c r="F866" s="69"/>
      <c r="G866" s="69"/>
      <c r="H866" s="69"/>
      <c r="I866" s="69"/>
      <c r="J866" s="69"/>
      <c r="K866" s="69"/>
      <c r="L866" s="69"/>
      <c r="M866" s="69"/>
      <c r="N866" s="69"/>
      <c r="O866" s="69"/>
      <c r="P866" s="69"/>
      <c r="Q866" s="69"/>
      <c r="R866" s="69"/>
      <c r="S866" s="69"/>
      <c r="T866" s="69"/>
      <c r="U866" s="69"/>
      <c r="V866" s="69"/>
      <c r="W866" s="81"/>
      <c r="X866" s="69"/>
      <c r="Y866" s="69"/>
      <c r="Z866" s="69"/>
      <c r="AA866" s="69"/>
      <c r="AB866" s="69"/>
    </row>
    <row r="867" spans="1:28">
      <c r="A867" s="67"/>
      <c r="B867" s="67"/>
      <c r="C867" s="68"/>
      <c r="F867" s="69"/>
      <c r="G867" s="69"/>
      <c r="H867" s="69"/>
      <c r="I867" s="69"/>
      <c r="J867" s="69"/>
      <c r="K867" s="69"/>
      <c r="L867" s="69"/>
      <c r="M867" s="69"/>
      <c r="N867" s="69"/>
      <c r="O867" s="69"/>
      <c r="P867" s="69"/>
      <c r="Q867" s="69"/>
      <c r="R867" s="69"/>
      <c r="S867" s="69"/>
      <c r="T867" s="69"/>
      <c r="U867" s="69"/>
      <c r="V867" s="69"/>
      <c r="W867" s="81"/>
      <c r="X867" s="69"/>
      <c r="Y867" s="69"/>
      <c r="Z867" s="69"/>
      <c r="AA867" s="69"/>
      <c r="AB867" s="69"/>
    </row>
    <row r="868" spans="1:28">
      <c r="A868" s="67"/>
      <c r="B868" s="67"/>
      <c r="C868" s="68"/>
      <c r="F868" s="69"/>
      <c r="G868" s="69"/>
      <c r="H868" s="69"/>
      <c r="I868" s="69"/>
      <c r="J868" s="69"/>
      <c r="K868" s="69"/>
      <c r="L868" s="69"/>
      <c r="M868" s="69"/>
      <c r="N868" s="69"/>
      <c r="O868" s="69"/>
      <c r="P868" s="69"/>
      <c r="Q868" s="69"/>
      <c r="R868" s="69"/>
      <c r="S868" s="69"/>
      <c r="T868" s="69"/>
      <c r="U868" s="69"/>
      <c r="V868" s="69"/>
      <c r="W868" s="81"/>
      <c r="X868" s="69"/>
      <c r="Y868" s="69"/>
      <c r="Z868" s="69"/>
      <c r="AA868" s="69"/>
      <c r="AB868" s="69"/>
    </row>
    <row r="869" spans="1:28">
      <c r="A869" s="67"/>
      <c r="B869" s="67"/>
      <c r="C869" s="68"/>
      <c r="F869" s="69"/>
      <c r="G869" s="69"/>
      <c r="H869" s="69"/>
      <c r="I869" s="69"/>
      <c r="J869" s="69"/>
      <c r="K869" s="69"/>
      <c r="L869" s="69"/>
      <c r="M869" s="69"/>
      <c r="N869" s="69"/>
      <c r="O869" s="69"/>
      <c r="P869" s="69"/>
      <c r="Q869" s="69"/>
      <c r="R869" s="69"/>
      <c r="S869" s="69"/>
      <c r="T869" s="69"/>
      <c r="U869" s="69"/>
      <c r="V869" s="69"/>
      <c r="W869" s="81"/>
      <c r="X869" s="69"/>
      <c r="Y869" s="69"/>
      <c r="Z869" s="69"/>
      <c r="AA869" s="69"/>
      <c r="AB869" s="69"/>
    </row>
    <row r="870" spans="1:28">
      <c r="A870" s="67"/>
      <c r="B870" s="67"/>
      <c r="C870" s="68"/>
      <c r="F870" s="69"/>
      <c r="G870" s="69"/>
      <c r="H870" s="69"/>
      <c r="I870" s="69"/>
      <c r="J870" s="69"/>
      <c r="K870" s="69"/>
      <c r="L870" s="69"/>
      <c r="M870" s="69"/>
      <c r="N870" s="69"/>
      <c r="O870" s="69"/>
      <c r="P870" s="69"/>
      <c r="Q870" s="69"/>
      <c r="R870" s="69"/>
      <c r="S870" s="69"/>
      <c r="T870" s="69"/>
      <c r="U870" s="69"/>
      <c r="V870" s="69"/>
      <c r="W870" s="81"/>
      <c r="X870" s="69"/>
      <c r="Y870" s="69"/>
      <c r="Z870" s="69"/>
      <c r="AA870" s="69"/>
      <c r="AB870" s="69"/>
    </row>
    <row r="871" spans="1:28">
      <c r="A871" s="67"/>
      <c r="B871" s="67"/>
      <c r="C871" s="68"/>
      <c r="F871" s="69"/>
      <c r="G871" s="69"/>
      <c r="H871" s="69"/>
      <c r="I871" s="69"/>
      <c r="J871" s="69"/>
      <c r="K871" s="69"/>
      <c r="L871" s="69"/>
      <c r="M871" s="69"/>
      <c r="N871" s="69"/>
      <c r="O871" s="69"/>
      <c r="P871" s="69"/>
      <c r="Q871" s="69"/>
      <c r="R871" s="69"/>
      <c r="S871" s="69"/>
      <c r="T871" s="69"/>
      <c r="U871" s="69"/>
      <c r="V871" s="69"/>
      <c r="W871" s="81"/>
      <c r="X871" s="69"/>
      <c r="Y871" s="69"/>
      <c r="Z871" s="69"/>
      <c r="AA871" s="69"/>
      <c r="AB871" s="69"/>
    </row>
    <row r="872" spans="1:28">
      <c r="A872" s="67"/>
      <c r="B872" s="67"/>
      <c r="C872" s="68"/>
      <c r="F872" s="69"/>
      <c r="G872" s="69"/>
      <c r="H872" s="69"/>
      <c r="I872" s="69"/>
      <c r="J872" s="69"/>
      <c r="K872" s="69"/>
      <c r="L872" s="69"/>
      <c r="M872" s="69"/>
      <c r="N872" s="69"/>
      <c r="O872" s="69"/>
      <c r="P872" s="69"/>
      <c r="Q872" s="69"/>
      <c r="R872" s="69"/>
      <c r="S872" s="69"/>
      <c r="T872" s="69"/>
      <c r="U872" s="69"/>
      <c r="V872" s="69"/>
      <c r="W872" s="81"/>
      <c r="X872" s="69"/>
      <c r="Y872" s="69"/>
      <c r="Z872" s="69"/>
      <c r="AA872" s="69"/>
      <c r="AB872" s="69"/>
    </row>
    <row r="873" spans="1:28">
      <c r="A873" s="67"/>
      <c r="B873" s="67"/>
      <c r="C873" s="68"/>
      <c r="F873" s="69"/>
      <c r="G873" s="69"/>
      <c r="H873" s="69"/>
      <c r="I873" s="69"/>
      <c r="J873" s="69"/>
      <c r="K873" s="69"/>
      <c r="L873" s="69"/>
      <c r="M873" s="69"/>
      <c r="N873" s="69"/>
      <c r="O873" s="69"/>
      <c r="P873" s="69"/>
      <c r="Q873" s="69"/>
      <c r="R873" s="69"/>
      <c r="S873" s="69"/>
      <c r="T873" s="69"/>
      <c r="U873" s="69"/>
      <c r="V873" s="69"/>
      <c r="W873" s="81"/>
      <c r="X873" s="69"/>
      <c r="Y873" s="69"/>
      <c r="Z873" s="69"/>
      <c r="AA873" s="69"/>
      <c r="AB873" s="69"/>
    </row>
    <row r="874" spans="1:28">
      <c r="A874" s="67"/>
      <c r="B874" s="67"/>
      <c r="C874" s="68"/>
      <c r="F874" s="69"/>
      <c r="G874" s="69"/>
      <c r="H874" s="69"/>
      <c r="I874" s="69"/>
      <c r="J874" s="69"/>
      <c r="K874" s="69"/>
      <c r="L874" s="69"/>
      <c r="M874" s="69"/>
      <c r="N874" s="69"/>
      <c r="O874" s="69"/>
      <c r="P874" s="69"/>
      <c r="Q874" s="69"/>
      <c r="R874" s="69"/>
      <c r="S874" s="69"/>
      <c r="T874" s="69"/>
      <c r="U874" s="69"/>
      <c r="V874" s="69"/>
      <c r="W874" s="81"/>
      <c r="X874" s="69"/>
      <c r="Y874" s="69"/>
      <c r="Z874" s="69"/>
      <c r="AA874" s="69"/>
      <c r="AB874" s="69"/>
    </row>
    <row r="875" spans="1:28">
      <c r="A875" s="67"/>
      <c r="B875" s="67"/>
      <c r="C875" s="68"/>
      <c r="F875" s="69"/>
      <c r="G875" s="69"/>
      <c r="H875" s="69"/>
      <c r="I875" s="69"/>
      <c r="J875" s="69"/>
      <c r="K875" s="69"/>
      <c r="L875" s="69"/>
      <c r="M875" s="69"/>
      <c r="N875" s="69"/>
      <c r="O875" s="69"/>
      <c r="P875" s="69"/>
      <c r="Q875" s="69"/>
      <c r="R875" s="69"/>
      <c r="S875" s="69"/>
      <c r="T875" s="69"/>
      <c r="U875" s="69"/>
      <c r="V875" s="69"/>
      <c r="W875" s="81"/>
      <c r="X875" s="69"/>
      <c r="Y875" s="69"/>
      <c r="Z875" s="69"/>
      <c r="AA875" s="69"/>
      <c r="AB875" s="69"/>
    </row>
    <row r="876" spans="1:28">
      <c r="A876" s="67"/>
      <c r="B876" s="67"/>
      <c r="C876" s="68"/>
      <c r="F876" s="69"/>
      <c r="G876" s="69"/>
      <c r="H876" s="69"/>
      <c r="I876" s="69"/>
      <c r="J876" s="69"/>
      <c r="K876" s="69"/>
      <c r="L876" s="69"/>
      <c r="M876" s="69"/>
      <c r="N876" s="69"/>
      <c r="O876" s="69"/>
      <c r="P876" s="69"/>
      <c r="Q876" s="69"/>
      <c r="R876" s="69"/>
      <c r="S876" s="69"/>
      <c r="T876" s="69"/>
      <c r="U876" s="69"/>
      <c r="V876" s="69"/>
      <c r="W876" s="81"/>
      <c r="X876" s="69"/>
      <c r="Y876" s="69"/>
      <c r="Z876" s="69"/>
      <c r="AA876" s="69"/>
      <c r="AB876" s="69"/>
    </row>
    <row r="877" spans="1:28">
      <c r="A877" s="67"/>
      <c r="B877" s="67"/>
      <c r="C877" s="68"/>
      <c r="F877" s="69"/>
      <c r="G877" s="69"/>
      <c r="H877" s="69"/>
      <c r="I877" s="69"/>
      <c r="J877" s="69"/>
      <c r="K877" s="69"/>
      <c r="L877" s="69"/>
      <c r="M877" s="69"/>
      <c r="N877" s="69"/>
      <c r="O877" s="69"/>
      <c r="P877" s="69"/>
      <c r="Q877" s="69"/>
      <c r="R877" s="69"/>
      <c r="S877" s="69"/>
      <c r="T877" s="69"/>
      <c r="U877" s="69"/>
      <c r="V877" s="69"/>
      <c r="W877" s="81"/>
      <c r="X877" s="69"/>
      <c r="Y877" s="69"/>
      <c r="Z877" s="69"/>
      <c r="AA877" s="69"/>
      <c r="AB877" s="69"/>
    </row>
    <row r="878" spans="1:28">
      <c r="A878" s="67"/>
      <c r="B878" s="67"/>
      <c r="C878" s="68"/>
      <c r="F878" s="69"/>
      <c r="G878" s="69"/>
      <c r="H878" s="69"/>
      <c r="I878" s="69"/>
      <c r="J878" s="69"/>
      <c r="K878" s="69"/>
      <c r="L878" s="69"/>
      <c r="M878" s="69"/>
      <c r="N878" s="69"/>
      <c r="O878" s="69"/>
      <c r="P878" s="69"/>
      <c r="Q878" s="69"/>
      <c r="R878" s="69"/>
      <c r="S878" s="69"/>
      <c r="T878" s="69"/>
      <c r="U878" s="69"/>
      <c r="V878" s="69"/>
      <c r="W878" s="81"/>
      <c r="X878" s="69"/>
      <c r="Y878" s="69"/>
      <c r="Z878" s="69"/>
      <c r="AA878" s="69"/>
      <c r="AB878" s="69"/>
    </row>
    <row r="879" spans="1:28">
      <c r="A879" s="67"/>
      <c r="B879" s="67"/>
      <c r="C879" s="68"/>
      <c r="F879" s="69"/>
      <c r="G879" s="69"/>
      <c r="H879" s="69"/>
      <c r="I879" s="69"/>
      <c r="J879" s="69"/>
      <c r="K879" s="69"/>
      <c r="L879" s="69"/>
      <c r="M879" s="69"/>
      <c r="N879" s="69"/>
      <c r="O879" s="69"/>
      <c r="P879" s="69"/>
      <c r="Q879" s="69"/>
      <c r="R879" s="69"/>
      <c r="S879" s="69"/>
      <c r="T879" s="69"/>
      <c r="U879" s="69"/>
      <c r="V879" s="69"/>
      <c r="W879" s="81"/>
      <c r="X879" s="69"/>
      <c r="Y879" s="69"/>
      <c r="Z879" s="69"/>
      <c r="AA879" s="69"/>
      <c r="AB879" s="69"/>
    </row>
    <row r="880" spans="1:28">
      <c r="A880" s="67"/>
      <c r="B880" s="67"/>
      <c r="C880" s="68"/>
      <c r="F880" s="69"/>
      <c r="G880" s="69"/>
      <c r="H880" s="69"/>
      <c r="I880" s="69"/>
      <c r="J880" s="69"/>
      <c r="K880" s="69"/>
      <c r="L880" s="69"/>
      <c r="M880" s="69"/>
      <c r="N880" s="69"/>
      <c r="O880" s="69"/>
      <c r="P880" s="69"/>
      <c r="Q880" s="69"/>
      <c r="R880" s="69"/>
      <c r="S880" s="69"/>
      <c r="T880" s="69"/>
      <c r="U880" s="69"/>
      <c r="V880" s="69"/>
      <c r="W880" s="81"/>
      <c r="X880" s="69"/>
      <c r="Y880" s="69"/>
      <c r="Z880" s="69"/>
      <c r="AA880" s="69"/>
      <c r="AB880" s="69"/>
    </row>
    <row r="881" spans="1:28">
      <c r="A881" s="67"/>
      <c r="B881" s="67"/>
      <c r="C881" s="68"/>
      <c r="F881" s="69"/>
      <c r="G881" s="69"/>
      <c r="H881" s="69"/>
      <c r="I881" s="69"/>
      <c r="J881" s="69"/>
      <c r="K881" s="69"/>
      <c r="L881" s="69"/>
      <c r="M881" s="69"/>
      <c r="N881" s="69"/>
      <c r="O881" s="69"/>
      <c r="P881" s="69"/>
      <c r="Q881" s="69"/>
      <c r="R881" s="69"/>
      <c r="S881" s="69"/>
      <c r="T881" s="69"/>
      <c r="U881" s="69"/>
      <c r="V881" s="69"/>
      <c r="W881" s="81"/>
      <c r="X881" s="69"/>
      <c r="Y881" s="69"/>
      <c r="Z881" s="69"/>
      <c r="AA881" s="69"/>
      <c r="AB881" s="69"/>
    </row>
    <row r="882" spans="1:28">
      <c r="A882" s="67"/>
      <c r="B882" s="67"/>
      <c r="C882" s="68"/>
      <c r="F882" s="69"/>
      <c r="G882" s="69"/>
      <c r="H882" s="69"/>
      <c r="I882" s="69"/>
      <c r="J882" s="69"/>
      <c r="K882" s="69"/>
      <c r="L882" s="69"/>
      <c r="M882" s="69"/>
      <c r="N882" s="69"/>
      <c r="O882" s="69"/>
      <c r="P882" s="69"/>
      <c r="Q882" s="69"/>
      <c r="R882" s="69"/>
      <c r="S882" s="69"/>
      <c r="T882" s="69"/>
      <c r="U882" s="69"/>
      <c r="V882" s="69"/>
      <c r="W882" s="81"/>
      <c r="X882" s="69"/>
      <c r="Y882" s="69"/>
      <c r="Z882" s="69"/>
      <c r="AA882" s="69"/>
      <c r="AB882" s="69"/>
    </row>
    <row r="883" spans="1:28">
      <c r="A883" s="67"/>
      <c r="B883" s="67"/>
      <c r="C883" s="68"/>
      <c r="F883" s="69"/>
      <c r="G883" s="69"/>
      <c r="H883" s="69"/>
      <c r="I883" s="69"/>
      <c r="J883" s="69"/>
      <c r="K883" s="69"/>
      <c r="L883" s="69"/>
      <c r="M883" s="69"/>
      <c r="N883" s="69"/>
      <c r="O883" s="69"/>
      <c r="P883" s="69"/>
      <c r="Q883" s="69"/>
      <c r="R883" s="69"/>
      <c r="S883" s="69"/>
      <c r="T883" s="69"/>
      <c r="U883" s="69"/>
      <c r="V883" s="69"/>
      <c r="W883" s="81"/>
      <c r="X883" s="69"/>
      <c r="Y883" s="69"/>
      <c r="Z883" s="69"/>
      <c r="AA883" s="69"/>
      <c r="AB883" s="69"/>
    </row>
    <row r="884" spans="1:28">
      <c r="A884" s="67"/>
      <c r="B884" s="67"/>
      <c r="C884" s="68"/>
      <c r="F884" s="69"/>
      <c r="G884" s="69"/>
      <c r="H884" s="69"/>
      <c r="I884" s="69"/>
      <c r="J884" s="69"/>
      <c r="K884" s="69"/>
      <c r="L884" s="69"/>
      <c r="M884" s="69"/>
      <c r="N884" s="69"/>
      <c r="O884" s="69"/>
      <c r="P884" s="69"/>
      <c r="Q884" s="69"/>
      <c r="R884" s="69"/>
      <c r="S884" s="69"/>
      <c r="T884" s="69"/>
      <c r="U884" s="69"/>
      <c r="V884" s="69"/>
      <c r="W884" s="81"/>
      <c r="X884" s="69"/>
      <c r="Y884" s="69"/>
      <c r="Z884" s="69"/>
      <c r="AA884" s="69"/>
      <c r="AB884" s="69"/>
    </row>
    <row r="885" spans="1:28">
      <c r="A885" s="67"/>
      <c r="B885" s="67"/>
      <c r="C885" s="68"/>
      <c r="F885" s="69"/>
      <c r="G885" s="69"/>
      <c r="H885" s="69"/>
      <c r="I885" s="69"/>
      <c r="J885" s="69"/>
      <c r="K885" s="69"/>
      <c r="L885" s="69"/>
      <c r="M885" s="69"/>
      <c r="N885" s="69"/>
      <c r="O885" s="69"/>
      <c r="P885" s="69"/>
      <c r="Q885" s="69"/>
      <c r="R885" s="69"/>
      <c r="S885" s="69"/>
      <c r="T885" s="69"/>
      <c r="U885" s="69"/>
      <c r="V885" s="69"/>
      <c r="W885" s="81"/>
      <c r="X885" s="69"/>
      <c r="Y885" s="69"/>
      <c r="Z885" s="69"/>
      <c r="AA885" s="69"/>
      <c r="AB885" s="69"/>
    </row>
    <row r="886" spans="1:28">
      <c r="A886" s="67"/>
      <c r="B886" s="67"/>
      <c r="C886" s="68"/>
      <c r="F886" s="69"/>
      <c r="G886" s="69"/>
      <c r="H886" s="69"/>
      <c r="I886" s="69"/>
      <c r="J886" s="69"/>
      <c r="K886" s="69"/>
      <c r="L886" s="69"/>
      <c r="M886" s="69"/>
      <c r="N886" s="69"/>
      <c r="O886" s="69"/>
      <c r="P886" s="69"/>
      <c r="Q886" s="69"/>
      <c r="R886" s="69"/>
      <c r="S886" s="69"/>
      <c r="T886" s="69"/>
      <c r="U886" s="69"/>
      <c r="V886" s="69"/>
      <c r="W886" s="81"/>
      <c r="X886" s="69"/>
      <c r="Y886" s="69"/>
      <c r="Z886" s="69"/>
      <c r="AA886" s="69"/>
      <c r="AB886" s="69"/>
    </row>
    <row r="887" spans="1:28">
      <c r="A887" s="67"/>
      <c r="B887" s="67"/>
      <c r="C887" s="68"/>
      <c r="F887" s="69"/>
      <c r="G887" s="69"/>
      <c r="H887" s="69"/>
      <c r="I887" s="69"/>
      <c r="J887" s="69"/>
      <c r="K887" s="69"/>
      <c r="L887" s="69"/>
      <c r="M887" s="69"/>
      <c r="N887" s="69"/>
      <c r="O887" s="69"/>
      <c r="P887" s="69"/>
      <c r="Q887" s="69"/>
      <c r="R887" s="69"/>
      <c r="S887" s="69"/>
      <c r="T887" s="69"/>
      <c r="U887" s="69"/>
      <c r="V887" s="69"/>
      <c r="W887" s="81"/>
      <c r="X887" s="69"/>
      <c r="Y887" s="69"/>
      <c r="Z887" s="69"/>
      <c r="AA887" s="69"/>
      <c r="AB887" s="69"/>
    </row>
    <row r="888" spans="1:28">
      <c r="A888" s="67"/>
      <c r="B888" s="67"/>
      <c r="C888" s="68"/>
      <c r="F888" s="69"/>
      <c r="G888" s="69"/>
      <c r="H888" s="69"/>
      <c r="I888" s="69"/>
      <c r="J888" s="69"/>
      <c r="K888" s="69"/>
      <c r="L888" s="69"/>
      <c r="M888" s="69"/>
      <c r="N888" s="69"/>
      <c r="O888" s="69"/>
      <c r="P888" s="69"/>
      <c r="Q888" s="69"/>
      <c r="R888" s="69"/>
      <c r="S888" s="69"/>
      <c r="T888" s="69"/>
      <c r="U888" s="69"/>
      <c r="V888" s="69"/>
      <c r="W888" s="81"/>
      <c r="X888" s="69"/>
      <c r="Y888" s="69"/>
      <c r="Z888" s="69"/>
      <c r="AA888" s="69"/>
      <c r="AB888" s="69"/>
    </row>
    <row r="889" spans="1:28">
      <c r="A889" s="67"/>
      <c r="B889" s="67"/>
      <c r="C889" s="68"/>
      <c r="F889" s="69"/>
      <c r="G889" s="69"/>
      <c r="H889" s="69"/>
      <c r="I889" s="69"/>
      <c r="J889" s="69"/>
      <c r="K889" s="69"/>
      <c r="L889" s="69"/>
      <c r="M889" s="69"/>
      <c r="N889" s="69"/>
      <c r="O889" s="69"/>
      <c r="P889" s="69"/>
      <c r="Q889" s="69"/>
      <c r="R889" s="69"/>
      <c r="S889" s="69"/>
      <c r="T889" s="69"/>
      <c r="U889" s="69"/>
      <c r="V889" s="69"/>
      <c r="W889" s="81"/>
      <c r="X889" s="69"/>
      <c r="Y889" s="69"/>
      <c r="Z889" s="69"/>
      <c r="AA889" s="69"/>
      <c r="AB889" s="69"/>
    </row>
    <row r="890" spans="1:28">
      <c r="A890" s="67"/>
      <c r="B890" s="67"/>
      <c r="C890" s="68"/>
      <c r="F890" s="69"/>
      <c r="G890" s="69"/>
      <c r="H890" s="69"/>
      <c r="I890" s="69"/>
      <c r="J890" s="69"/>
      <c r="K890" s="69"/>
      <c r="L890" s="69"/>
      <c r="M890" s="69"/>
      <c r="N890" s="69"/>
      <c r="O890" s="69"/>
      <c r="P890" s="69"/>
      <c r="Q890" s="69"/>
      <c r="R890" s="69"/>
      <c r="S890" s="69"/>
      <c r="T890" s="69"/>
      <c r="U890" s="69"/>
      <c r="V890" s="69"/>
      <c r="W890" s="81"/>
      <c r="X890" s="69"/>
      <c r="Y890" s="69"/>
      <c r="Z890" s="69"/>
      <c r="AA890" s="69"/>
      <c r="AB890" s="69"/>
    </row>
    <row r="891" spans="1:28">
      <c r="A891" s="67"/>
      <c r="B891" s="67"/>
      <c r="C891" s="68"/>
      <c r="F891" s="69"/>
      <c r="G891" s="69"/>
      <c r="H891" s="69"/>
      <c r="I891" s="69"/>
      <c r="J891" s="69"/>
      <c r="K891" s="69"/>
      <c r="L891" s="69"/>
      <c r="M891" s="69"/>
      <c r="N891" s="69"/>
      <c r="O891" s="69"/>
      <c r="P891" s="69"/>
      <c r="Q891" s="69"/>
      <c r="R891" s="69"/>
      <c r="S891" s="69"/>
      <c r="T891" s="69"/>
      <c r="U891" s="69"/>
      <c r="V891" s="69"/>
      <c r="W891" s="81"/>
      <c r="X891" s="69"/>
      <c r="Y891" s="69"/>
      <c r="Z891" s="69"/>
      <c r="AA891" s="69"/>
      <c r="AB891" s="69"/>
    </row>
    <row r="892" spans="1:28">
      <c r="A892" s="67"/>
      <c r="B892" s="67"/>
      <c r="C892" s="68"/>
      <c r="F892" s="69"/>
      <c r="G892" s="69"/>
      <c r="H892" s="69"/>
      <c r="I892" s="69"/>
      <c r="J892" s="69"/>
      <c r="K892" s="69"/>
      <c r="L892" s="69"/>
      <c r="M892" s="69"/>
      <c r="N892" s="69"/>
      <c r="O892" s="69"/>
      <c r="P892" s="69"/>
      <c r="Q892" s="69"/>
      <c r="R892" s="69"/>
      <c r="S892" s="69"/>
      <c r="T892" s="69"/>
      <c r="U892" s="69"/>
      <c r="V892" s="69"/>
      <c r="W892" s="81"/>
      <c r="X892" s="69"/>
      <c r="Y892" s="69"/>
      <c r="Z892" s="69"/>
      <c r="AA892" s="69"/>
      <c r="AB892" s="69"/>
    </row>
    <row r="893" spans="1:28">
      <c r="A893" s="67"/>
      <c r="B893" s="67"/>
      <c r="C893" s="68"/>
      <c r="F893" s="69"/>
      <c r="G893" s="69"/>
      <c r="H893" s="69"/>
      <c r="I893" s="69"/>
      <c r="J893" s="69"/>
      <c r="K893" s="69"/>
      <c r="L893" s="69"/>
      <c r="M893" s="69"/>
      <c r="N893" s="69"/>
      <c r="O893" s="69"/>
      <c r="P893" s="69"/>
      <c r="Q893" s="69"/>
      <c r="R893" s="69"/>
      <c r="S893" s="69"/>
      <c r="T893" s="69"/>
      <c r="U893" s="69"/>
      <c r="V893" s="69"/>
      <c r="W893" s="81"/>
      <c r="X893" s="69"/>
      <c r="Y893" s="69"/>
      <c r="Z893" s="69"/>
      <c r="AA893" s="69"/>
      <c r="AB893" s="69"/>
    </row>
    <row r="894" spans="1:28">
      <c r="A894" s="67"/>
      <c r="B894" s="67"/>
      <c r="C894" s="68"/>
      <c r="F894" s="69"/>
      <c r="G894" s="69"/>
      <c r="H894" s="69"/>
      <c r="I894" s="69"/>
      <c r="J894" s="69"/>
      <c r="K894" s="69"/>
      <c r="L894" s="69"/>
      <c r="M894" s="69"/>
      <c r="N894" s="69"/>
      <c r="O894" s="69"/>
      <c r="P894" s="69"/>
      <c r="Q894" s="69"/>
      <c r="R894" s="69"/>
      <c r="S894" s="69"/>
      <c r="T894" s="69"/>
      <c r="U894" s="69"/>
      <c r="V894" s="69"/>
      <c r="W894" s="81"/>
      <c r="X894" s="69"/>
      <c r="Y894" s="69"/>
      <c r="Z894" s="69"/>
      <c r="AA894" s="69"/>
      <c r="AB894" s="69"/>
    </row>
    <row r="895" spans="1:28">
      <c r="A895" s="67"/>
      <c r="B895" s="67"/>
      <c r="C895" s="68"/>
      <c r="F895" s="69"/>
      <c r="G895" s="69"/>
      <c r="H895" s="69"/>
      <c r="I895" s="69"/>
      <c r="J895" s="69"/>
      <c r="K895" s="69"/>
      <c r="L895" s="69"/>
      <c r="M895" s="69"/>
      <c r="N895" s="69"/>
      <c r="O895" s="69"/>
      <c r="P895" s="69"/>
      <c r="Q895" s="69"/>
      <c r="R895" s="69"/>
      <c r="S895" s="69"/>
      <c r="T895" s="69"/>
      <c r="U895" s="69"/>
      <c r="V895" s="69"/>
      <c r="W895" s="81"/>
      <c r="X895" s="69"/>
      <c r="Y895" s="69"/>
      <c r="Z895" s="69"/>
      <c r="AA895" s="69"/>
      <c r="AB895" s="69"/>
    </row>
    <row r="896" spans="1:28">
      <c r="A896" s="67"/>
      <c r="B896" s="67"/>
      <c r="C896" s="68"/>
      <c r="F896" s="69"/>
      <c r="G896" s="69"/>
      <c r="H896" s="69"/>
      <c r="I896" s="69"/>
      <c r="J896" s="69"/>
      <c r="K896" s="69"/>
      <c r="L896" s="69"/>
      <c r="M896" s="69"/>
      <c r="N896" s="69"/>
      <c r="O896" s="69"/>
      <c r="P896" s="69"/>
      <c r="Q896" s="69"/>
      <c r="R896" s="69"/>
      <c r="S896" s="69"/>
      <c r="T896" s="69"/>
      <c r="U896" s="69"/>
      <c r="V896" s="69"/>
      <c r="W896" s="81"/>
      <c r="X896" s="69"/>
      <c r="Y896" s="69"/>
      <c r="Z896" s="69"/>
      <c r="AA896" s="69"/>
      <c r="AB896" s="69"/>
    </row>
    <row r="897" spans="1:28">
      <c r="A897" s="67"/>
      <c r="B897" s="67"/>
      <c r="C897" s="68"/>
      <c r="F897" s="69"/>
      <c r="G897" s="69"/>
      <c r="H897" s="69"/>
      <c r="I897" s="69"/>
      <c r="J897" s="69"/>
      <c r="K897" s="69"/>
      <c r="L897" s="69"/>
      <c r="M897" s="69"/>
      <c r="N897" s="69"/>
      <c r="O897" s="69"/>
      <c r="P897" s="69"/>
      <c r="Q897" s="69"/>
      <c r="R897" s="69"/>
      <c r="S897" s="69"/>
      <c r="T897" s="69"/>
      <c r="U897" s="69"/>
      <c r="V897" s="69"/>
      <c r="W897" s="81"/>
      <c r="X897" s="69"/>
      <c r="Y897" s="69"/>
      <c r="Z897" s="69"/>
      <c r="AA897" s="69"/>
      <c r="AB897" s="69"/>
    </row>
    <row r="898" spans="1:28">
      <c r="A898" s="67"/>
      <c r="B898" s="67"/>
      <c r="C898" s="68"/>
      <c r="F898" s="69"/>
      <c r="G898" s="69"/>
      <c r="H898" s="69"/>
      <c r="I898" s="69"/>
      <c r="J898" s="69"/>
      <c r="K898" s="69"/>
      <c r="L898" s="69"/>
      <c r="M898" s="69"/>
      <c r="N898" s="69"/>
      <c r="O898" s="69"/>
      <c r="P898" s="69"/>
      <c r="Q898" s="69"/>
      <c r="R898" s="69"/>
      <c r="S898" s="69"/>
      <c r="T898" s="69"/>
      <c r="U898" s="69"/>
      <c r="V898" s="69"/>
      <c r="W898" s="81"/>
      <c r="X898" s="69"/>
      <c r="Y898" s="69"/>
      <c r="Z898" s="69"/>
      <c r="AA898" s="69"/>
      <c r="AB898" s="69"/>
    </row>
    <row r="899" spans="1:28">
      <c r="A899" s="67"/>
      <c r="B899" s="67"/>
      <c r="C899" s="68"/>
      <c r="F899" s="69"/>
      <c r="G899" s="69"/>
      <c r="H899" s="69"/>
      <c r="I899" s="69"/>
      <c r="J899" s="69"/>
      <c r="K899" s="69"/>
      <c r="L899" s="69"/>
      <c r="M899" s="69"/>
      <c r="N899" s="69"/>
      <c r="O899" s="69"/>
      <c r="P899" s="69"/>
      <c r="Q899" s="69"/>
      <c r="R899" s="69"/>
      <c r="S899" s="69"/>
      <c r="T899" s="69"/>
      <c r="U899" s="69"/>
      <c r="V899" s="69"/>
      <c r="W899" s="81"/>
      <c r="X899" s="69"/>
      <c r="Y899" s="69"/>
      <c r="Z899" s="69"/>
      <c r="AA899" s="69"/>
      <c r="AB899" s="69"/>
    </row>
    <row r="900" spans="1:28">
      <c r="A900" s="67"/>
      <c r="B900" s="67"/>
      <c r="C900" s="68"/>
      <c r="F900" s="69"/>
      <c r="G900" s="69"/>
      <c r="H900" s="69"/>
      <c r="I900" s="69"/>
      <c r="J900" s="69"/>
      <c r="K900" s="69"/>
      <c r="L900" s="69"/>
      <c r="M900" s="69"/>
      <c r="N900" s="69"/>
      <c r="O900" s="69"/>
      <c r="P900" s="69"/>
      <c r="Q900" s="69"/>
      <c r="R900" s="69"/>
      <c r="S900" s="69"/>
      <c r="T900" s="69"/>
      <c r="U900" s="69"/>
      <c r="V900" s="69"/>
      <c r="W900" s="81"/>
      <c r="X900" s="69"/>
      <c r="Y900" s="69"/>
      <c r="Z900" s="69"/>
      <c r="AA900" s="69"/>
      <c r="AB900" s="69"/>
    </row>
    <row r="901" spans="1:28">
      <c r="A901" s="67"/>
      <c r="B901" s="67"/>
      <c r="C901" s="68"/>
      <c r="F901" s="69"/>
      <c r="G901" s="69"/>
      <c r="H901" s="69"/>
      <c r="I901" s="69"/>
      <c r="J901" s="69"/>
      <c r="K901" s="69"/>
      <c r="L901" s="69"/>
      <c r="M901" s="69"/>
      <c r="N901" s="69"/>
      <c r="O901" s="69"/>
      <c r="P901" s="69"/>
      <c r="Q901" s="69"/>
      <c r="R901" s="69"/>
      <c r="S901" s="69"/>
      <c r="T901" s="69"/>
      <c r="U901" s="69"/>
      <c r="V901" s="69"/>
      <c r="W901" s="81"/>
      <c r="X901" s="69"/>
      <c r="Y901" s="69"/>
      <c r="Z901" s="69"/>
      <c r="AA901" s="69"/>
      <c r="AB901" s="69"/>
    </row>
    <row r="902" spans="1:28">
      <c r="A902" s="67"/>
      <c r="B902" s="67"/>
      <c r="C902" s="68"/>
      <c r="F902" s="69"/>
      <c r="G902" s="69"/>
      <c r="H902" s="69"/>
      <c r="I902" s="69"/>
      <c r="J902" s="69"/>
      <c r="K902" s="69"/>
      <c r="L902" s="69"/>
      <c r="M902" s="69"/>
      <c r="N902" s="69"/>
      <c r="O902" s="69"/>
      <c r="P902" s="69"/>
      <c r="Q902" s="69"/>
      <c r="R902" s="69"/>
      <c r="S902" s="69"/>
      <c r="T902" s="69"/>
      <c r="U902" s="69"/>
      <c r="V902" s="69"/>
      <c r="W902" s="81"/>
      <c r="X902" s="69"/>
      <c r="Y902" s="69"/>
      <c r="Z902" s="69"/>
      <c r="AA902" s="69"/>
      <c r="AB902" s="69"/>
    </row>
    <row r="903" spans="1:28">
      <c r="A903" s="67"/>
      <c r="B903" s="67"/>
      <c r="C903" s="68"/>
      <c r="F903" s="69"/>
      <c r="G903" s="69"/>
      <c r="H903" s="69"/>
      <c r="I903" s="69"/>
      <c r="J903" s="69"/>
      <c r="K903" s="69"/>
      <c r="L903" s="69"/>
      <c r="M903" s="69"/>
      <c r="N903" s="69"/>
      <c r="O903" s="69"/>
      <c r="P903" s="69"/>
      <c r="Q903" s="69"/>
      <c r="R903" s="69"/>
      <c r="S903" s="69"/>
      <c r="T903" s="69"/>
      <c r="U903" s="69"/>
      <c r="V903" s="69"/>
      <c r="W903" s="81"/>
      <c r="X903" s="69"/>
      <c r="Y903" s="69"/>
      <c r="Z903" s="69"/>
      <c r="AA903" s="69"/>
      <c r="AB903" s="69"/>
    </row>
    <row r="904" spans="1:28">
      <c r="A904" s="67"/>
      <c r="B904" s="67"/>
      <c r="C904" s="68"/>
      <c r="F904" s="69"/>
      <c r="G904" s="69"/>
      <c r="H904" s="69"/>
      <c r="I904" s="69"/>
      <c r="J904" s="69"/>
      <c r="K904" s="69"/>
      <c r="L904" s="69"/>
      <c r="M904" s="69"/>
      <c r="N904" s="69"/>
      <c r="O904" s="69"/>
      <c r="P904" s="69"/>
      <c r="Q904" s="69"/>
      <c r="R904" s="69"/>
      <c r="S904" s="69"/>
      <c r="T904" s="69"/>
      <c r="U904" s="69"/>
      <c r="V904" s="69"/>
      <c r="W904" s="81"/>
      <c r="X904" s="69"/>
      <c r="Y904" s="69"/>
      <c r="Z904" s="69"/>
      <c r="AA904" s="69"/>
      <c r="AB904" s="69"/>
    </row>
    <row r="905" spans="1:28">
      <c r="A905" s="67"/>
      <c r="B905" s="67"/>
      <c r="C905" s="68"/>
      <c r="F905" s="69"/>
      <c r="G905" s="69"/>
      <c r="H905" s="69"/>
      <c r="I905" s="69"/>
      <c r="J905" s="69"/>
      <c r="K905" s="69"/>
      <c r="L905" s="69"/>
      <c r="M905" s="69"/>
      <c r="N905" s="69"/>
      <c r="O905" s="69"/>
      <c r="P905" s="69"/>
      <c r="Q905" s="69"/>
      <c r="R905" s="69"/>
      <c r="S905" s="69"/>
      <c r="T905" s="69"/>
      <c r="U905" s="69"/>
      <c r="V905" s="69"/>
      <c r="W905" s="81"/>
      <c r="X905" s="69"/>
      <c r="Y905" s="69"/>
      <c r="Z905" s="69"/>
      <c r="AA905" s="69"/>
      <c r="AB905" s="69"/>
    </row>
    <row r="906" spans="1:28">
      <c r="A906" s="67"/>
      <c r="B906" s="67"/>
      <c r="C906" s="68"/>
      <c r="F906" s="69"/>
      <c r="G906" s="69"/>
      <c r="H906" s="69"/>
      <c r="I906" s="69"/>
      <c r="J906" s="69"/>
      <c r="K906" s="69"/>
      <c r="L906" s="69"/>
      <c r="M906" s="69"/>
      <c r="N906" s="69"/>
      <c r="O906" s="69"/>
      <c r="P906" s="69"/>
      <c r="Q906" s="69"/>
      <c r="R906" s="69"/>
      <c r="S906" s="69"/>
      <c r="T906" s="69"/>
      <c r="U906" s="69"/>
      <c r="V906" s="69"/>
      <c r="W906" s="81"/>
      <c r="X906" s="69"/>
      <c r="Y906" s="69"/>
      <c r="Z906" s="69"/>
      <c r="AA906" s="69"/>
      <c r="AB906" s="69"/>
    </row>
    <row r="907" spans="1:28">
      <c r="A907" s="67"/>
      <c r="B907" s="67"/>
      <c r="C907" s="68"/>
      <c r="F907" s="69"/>
      <c r="G907" s="69"/>
      <c r="H907" s="69"/>
      <c r="I907" s="69"/>
      <c r="J907" s="69"/>
      <c r="K907" s="69"/>
      <c r="L907" s="69"/>
      <c r="M907" s="69"/>
      <c r="N907" s="69"/>
      <c r="O907" s="69"/>
      <c r="P907" s="69"/>
      <c r="Q907" s="69"/>
      <c r="R907" s="69"/>
      <c r="S907" s="69"/>
      <c r="T907" s="69"/>
      <c r="U907" s="69"/>
      <c r="V907" s="69"/>
      <c r="W907" s="81"/>
      <c r="X907" s="69"/>
      <c r="Y907" s="69"/>
      <c r="Z907" s="69"/>
      <c r="AA907" s="69"/>
      <c r="AB907" s="69"/>
    </row>
    <row r="908" spans="1:28">
      <c r="A908" s="67"/>
      <c r="B908" s="67"/>
      <c r="C908" s="68"/>
      <c r="F908" s="69"/>
      <c r="G908" s="69"/>
      <c r="H908" s="69"/>
      <c r="I908" s="69"/>
      <c r="J908" s="69"/>
      <c r="K908" s="69"/>
      <c r="L908" s="69"/>
      <c r="M908" s="69"/>
      <c r="N908" s="69"/>
      <c r="O908" s="69"/>
      <c r="P908" s="69"/>
      <c r="Q908" s="69"/>
      <c r="R908" s="69"/>
      <c r="S908" s="69"/>
      <c r="T908" s="69"/>
      <c r="U908" s="69"/>
      <c r="V908" s="69"/>
      <c r="W908" s="81"/>
      <c r="X908" s="69"/>
      <c r="Y908" s="69"/>
      <c r="Z908" s="69"/>
      <c r="AA908" s="69"/>
      <c r="AB908" s="69"/>
    </row>
    <row r="909" spans="1:28">
      <c r="A909" s="67"/>
      <c r="B909" s="67"/>
      <c r="C909" s="68"/>
      <c r="F909" s="69"/>
      <c r="G909" s="69"/>
      <c r="H909" s="69"/>
      <c r="I909" s="69"/>
      <c r="J909" s="69"/>
      <c r="K909" s="69"/>
      <c r="L909" s="69"/>
      <c r="M909" s="69"/>
      <c r="N909" s="69"/>
      <c r="O909" s="69"/>
      <c r="P909" s="69"/>
      <c r="Q909" s="69"/>
      <c r="R909" s="69"/>
      <c r="S909" s="69"/>
      <c r="T909" s="69"/>
      <c r="U909" s="69"/>
      <c r="V909" s="69"/>
      <c r="W909" s="81"/>
      <c r="X909" s="69"/>
      <c r="Y909" s="69"/>
      <c r="Z909" s="69"/>
      <c r="AA909" s="69"/>
      <c r="AB909" s="69"/>
    </row>
    <row r="910" spans="1:28">
      <c r="A910" s="67"/>
      <c r="B910" s="67"/>
      <c r="C910" s="68"/>
      <c r="F910" s="69"/>
      <c r="G910" s="69"/>
      <c r="H910" s="69"/>
      <c r="I910" s="69"/>
      <c r="J910" s="69"/>
      <c r="K910" s="69"/>
      <c r="L910" s="69"/>
      <c r="M910" s="69"/>
      <c r="N910" s="69"/>
      <c r="O910" s="69"/>
      <c r="P910" s="69"/>
      <c r="Q910" s="69"/>
      <c r="R910" s="69"/>
      <c r="S910" s="69"/>
      <c r="T910" s="69"/>
      <c r="U910" s="69"/>
      <c r="V910" s="69"/>
      <c r="W910" s="81"/>
      <c r="X910" s="69"/>
      <c r="Y910" s="69"/>
      <c r="Z910" s="69"/>
      <c r="AA910" s="69"/>
      <c r="AB910" s="69"/>
    </row>
    <row r="911" spans="1:28">
      <c r="A911" s="67"/>
      <c r="B911" s="67"/>
      <c r="C911" s="68"/>
      <c r="F911" s="69"/>
      <c r="G911" s="69"/>
      <c r="H911" s="69"/>
      <c r="I911" s="69"/>
      <c r="J911" s="69"/>
      <c r="K911" s="69"/>
      <c r="L911" s="69"/>
      <c r="M911" s="69"/>
      <c r="N911" s="69"/>
      <c r="O911" s="69"/>
      <c r="P911" s="69"/>
      <c r="Q911" s="69"/>
      <c r="R911" s="69"/>
      <c r="S911" s="69"/>
      <c r="T911" s="69"/>
      <c r="U911" s="69"/>
      <c r="V911" s="69"/>
      <c r="W911" s="81"/>
      <c r="X911" s="69"/>
      <c r="Y911" s="69"/>
      <c r="Z911" s="69"/>
      <c r="AA911" s="69"/>
      <c r="AB911" s="69"/>
    </row>
    <row r="912" spans="1:28">
      <c r="A912" s="67"/>
      <c r="B912" s="67"/>
      <c r="C912" s="68"/>
      <c r="F912" s="69"/>
      <c r="G912" s="69"/>
      <c r="H912" s="69"/>
      <c r="I912" s="69"/>
      <c r="J912" s="69"/>
      <c r="K912" s="69"/>
      <c r="L912" s="69"/>
      <c r="M912" s="69"/>
      <c r="N912" s="69"/>
      <c r="O912" s="69"/>
      <c r="P912" s="69"/>
      <c r="Q912" s="69"/>
      <c r="R912" s="69"/>
      <c r="S912" s="69"/>
      <c r="T912" s="69"/>
      <c r="U912" s="69"/>
      <c r="V912" s="69"/>
      <c r="W912" s="81"/>
      <c r="X912" s="69"/>
      <c r="Y912" s="69"/>
      <c r="Z912" s="69"/>
      <c r="AA912" s="69"/>
      <c r="AB912" s="69"/>
    </row>
    <row r="913" spans="1:28">
      <c r="A913" s="67"/>
      <c r="B913" s="67"/>
      <c r="C913" s="68"/>
      <c r="F913" s="69"/>
      <c r="G913" s="69"/>
      <c r="H913" s="69"/>
      <c r="I913" s="69"/>
      <c r="J913" s="69"/>
      <c r="K913" s="69"/>
      <c r="L913" s="69"/>
      <c r="M913" s="69"/>
      <c r="N913" s="69"/>
      <c r="O913" s="69"/>
      <c r="P913" s="69"/>
      <c r="Q913" s="69"/>
      <c r="R913" s="69"/>
      <c r="S913" s="69"/>
      <c r="T913" s="69"/>
      <c r="U913" s="69"/>
      <c r="V913" s="69"/>
      <c r="W913" s="81"/>
      <c r="X913" s="69"/>
      <c r="Y913" s="69"/>
      <c r="Z913" s="69"/>
      <c r="AA913" s="69"/>
      <c r="AB913" s="69"/>
    </row>
    <row r="914" spans="1:28">
      <c r="A914" s="67"/>
      <c r="B914" s="67"/>
      <c r="C914" s="68"/>
      <c r="F914" s="69"/>
      <c r="G914" s="69"/>
      <c r="H914" s="69"/>
      <c r="I914" s="69"/>
      <c r="J914" s="69"/>
      <c r="K914" s="69"/>
      <c r="L914" s="69"/>
      <c r="M914" s="69"/>
      <c r="N914" s="69"/>
      <c r="O914" s="69"/>
      <c r="P914" s="69"/>
      <c r="Q914" s="69"/>
      <c r="R914" s="69"/>
      <c r="S914" s="69"/>
      <c r="T914" s="69"/>
      <c r="U914" s="69"/>
      <c r="V914" s="69"/>
      <c r="W914" s="81"/>
      <c r="X914" s="69"/>
      <c r="Y914" s="69"/>
      <c r="Z914" s="69"/>
      <c r="AA914" s="69"/>
      <c r="AB914" s="69"/>
    </row>
    <row r="915" spans="1:28">
      <c r="A915" s="67"/>
      <c r="B915" s="67"/>
      <c r="C915" s="68"/>
      <c r="F915" s="69"/>
      <c r="G915" s="69"/>
      <c r="H915" s="69"/>
      <c r="I915" s="69"/>
      <c r="J915" s="69"/>
      <c r="K915" s="69"/>
      <c r="L915" s="69"/>
      <c r="M915" s="69"/>
      <c r="N915" s="69"/>
      <c r="O915" s="69"/>
      <c r="P915" s="69"/>
      <c r="Q915" s="69"/>
      <c r="R915" s="69"/>
      <c r="S915" s="69"/>
      <c r="T915" s="69"/>
      <c r="U915" s="69"/>
      <c r="V915" s="69"/>
      <c r="W915" s="81"/>
      <c r="X915" s="69"/>
      <c r="Y915" s="69"/>
      <c r="Z915" s="69"/>
      <c r="AA915" s="69"/>
      <c r="AB915" s="69"/>
    </row>
    <row r="916" spans="1:28">
      <c r="A916" s="67"/>
      <c r="B916" s="67"/>
      <c r="C916" s="68"/>
      <c r="F916" s="69"/>
      <c r="G916" s="69"/>
      <c r="H916" s="69"/>
      <c r="I916" s="69"/>
      <c r="J916" s="69"/>
      <c r="K916" s="69"/>
      <c r="L916" s="69"/>
      <c r="M916" s="69"/>
      <c r="N916" s="69"/>
      <c r="O916" s="69"/>
      <c r="P916" s="69"/>
      <c r="Q916" s="69"/>
      <c r="R916" s="69"/>
      <c r="S916" s="69"/>
      <c r="T916" s="69"/>
      <c r="U916" s="69"/>
      <c r="V916" s="69"/>
      <c r="W916" s="81"/>
      <c r="X916" s="69"/>
      <c r="Y916" s="69"/>
      <c r="Z916" s="69"/>
      <c r="AA916" s="69"/>
      <c r="AB916" s="69"/>
    </row>
    <row r="917" spans="1:28">
      <c r="A917" s="67"/>
      <c r="B917" s="67"/>
      <c r="C917" s="68"/>
      <c r="F917" s="69"/>
      <c r="G917" s="69"/>
      <c r="H917" s="69"/>
      <c r="I917" s="69"/>
      <c r="J917" s="69"/>
      <c r="K917" s="69"/>
      <c r="L917" s="69"/>
      <c r="M917" s="69"/>
      <c r="N917" s="69"/>
      <c r="O917" s="69"/>
      <c r="P917" s="69"/>
      <c r="Q917" s="69"/>
      <c r="R917" s="69"/>
      <c r="S917" s="69"/>
      <c r="T917" s="69"/>
      <c r="U917" s="69"/>
      <c r="V917" s="69"/>
      <c r="W917" s="81"/>
      <c r="X917" s="69"/>
      <c r="Y917" s="69"/>
      <c r="Z917" s="69"/>
      <c r="AA917" s="69"/>
      <c r="AB917" s="69"/>
    </row>
    <row r="918" spans="1:28">
      <c r="A918" s="67"/>
      <c r="B918" s="67"/>
      <c r="C918" s="68"/>
      <c r="F918" s="69"/>
      <c r="G918" s="69"/>
      <c r="H918" s="69"/>
      <c r="I918" s="69"/>
      <c r="J918" s="69"/>
      <c r="K918" s="69"/>
      <c r="L918" s="69"/>
      <c r="M918" s="69"/>
      <c r="N918" s="69"/>
      <c r="O918" s="69"/>
      <c r="P918" s="69"/>
      <c r="Q918" s="69"/>
      <c r="R918" s="69"/>
      <c r="S918" s="69"/>
      <c r="T918" s="69"/>
      <c r="U918" s="69"/>
      <c r="V918" s="69"/>
      <c r="W918" s="81"/>
      <c r="X918" s="69"/>
      <c r="Y918" s="69"/>
      <c r="Z918" s="69"/>
      <c r="AA918" s="69"/>
      <c r="AB918" s="69"/>
    </row>
    <row r="919" spans="1:28">
      <c r="A919" s="67"/>
      <c r="B919" s="67"/>
      <c r="C919" s="68"/>
      <c r="F919" s="69"/>
      <c r="G919" s="69"/>
      <c r="H919" s="69"/>
      <c r="I919" s="69"/>
      <c r="J919" s="69"/>
      <c r="K919" s="69"/>
      <c r="L919" s="69"/>
      <c r="M919" s="69"/>
      <c r="N919" s="69"/>
      <c r="O919" s="69"/>
      <c r="P919" s="69"/>
      <c r="Q919" s="69"/>
      <c r="R919" s="69"/>
      <c r="S919" s="69"/>
      <c r="T919" s="69"/>
      <c r="U919" s="69"/>
      <c r="V919" s="69"/>
      <c r="W919" s="81"/>
      <c r="X919" s="69"/>
      <c r="Y919" s="69"/>
      <c r="Z919" s="69"/>
      <c r="AA919" s="69"/>
      <c r="AB919" s="69"/>
    </row>
    <row r="920" spans="1:28">
      <c r="A920" s="67"/>
      <c r="B920" s="67"/>
      <c r="C920" s="68"/>
      <c r="F920" s="69"/>
      <c r="G920" s="69"/>
      <c r="H920" s="69"/>
      <c r="I920" s="69"/>
      <c r="J920" s="69"/>
      <c r="K920" s="69"/>
      <c r="L920" s="69"/>
      <c r="M920" s="69"/>
      <c r="N920" s="69"/>
      <c r="O920" s="69"/>
      <c r="P920" s="69"/>
      <c r="Q920" s="69"/>
      <c r="R920" s="69"/>
      <c r="S920" s="69"/>
      <c r="T920" s="69"/>
      <c r="U920" s="69"/>
      <c r="V920" s="69"/>
      <c r="W920" s="81"/>
      <c r="X920" s="69"/>
      <c r="Y920" s="69"/>
      <c r="Z920" s="69"/>
      <c r="AA920" s="69"/>
      <c r="AB920" s="69"/>
    </row>
    <row r="921" spans="1:28">
      <c r="A921" s="67"/>
      <c r="B921" s="67"/>
      <c r="C921" s="68"/>
      <c r="F921" s="69"/>
      <c r="G921" s="69"/>
      <c r="H921" s="69"/>
      <c r="I921" s="69"/>
      <c r="J921" s="69"/>
      <c r="K921" s="69"/>
      <c r="L921" s="69"/>
      <c r="M921" s="69"/>
      <c r="N921" s="69"/>
      <c r="O921" s="69"/>
      <c r="P921" s="69"/>
      <c r="Q921" s="69"/>
      <c r="R921" s="69"/>
      <c r="S921" s="69"/>
      <c r="T921" s="69"/>
      <c r="U921" s="69"/>
      <c r="V921" s="69"/>
      <c r="W921" s="81"/>
      <c r="X921" s="69"/>
      <c r="Y921" s="69"/>
      <c r="Z921" s="69"/>
      <c r="AA921" s="69"/>
      <c r="AB921" s="69"/>
    </row>
    <row r="922" spans="1:28">
      <c r="A922" s="67"/>
      <c r="B922" s="67"/>
      <c r="C922" s="68"/>
      <c r="F922" s="69"/>
      <c r="G922" s="69"/>
      <c r="H922" s="69"/>
      <c r="I922" s="69"/>
      <c r="J922" s="69"/>
      <c r="K922" s="69"/>
      <c r="L922" s="69"/>
      <c r="M922" s="69"/>
      <c r="N922" s="69"/>
      <c r="O922" s="69"/>
      <c r="P922" s="69"/>
      <c r="Q922" s="69"/>
      <c r="R922" s="69"/>
      <c r="S922" s="69"/>
      <c r="T922" s="69"/>
      <c r="U922" s="69"/>
      <c r="V922" s="69"/>
      <c r="W922" s="81"/>
      <c r="X922" s="69"/>
      <c r="Y922" s="69"/>
      <c r="Z922" s="69"/>
      <c r="AA922" s="69"/>
      <c r="AB922" s="69"/>
    </row>
    <row r="923" spans="1:28">
      <c r="A923" s="67"/>
      <c r="B923" s="67"/>
      <c r="C923" s="68"/>
      <c r="F923" s="69"/>
      <c r="G923" s="69"/>
      <c r="H923" s="69"/>
      <c r="I923" s="69"/>
      <c r="J923" s="69"/>
      <c r="K923" s="69"/>
      <c r="L923" s="69"/>
      <c r="M923" s="69"/>
      <c r="N923" s="69"/>
      <c r="O923" s="69"/>
      <c r="P923" s="69"/>
      <c r="Q923" s="69"/>
      <c r="R923" s="69"/>
      <c r="S923" s="69"/>
      <c r="T923" s="69"/>
      <c r="U923" s="69"/>
      <c r="V923" s="69"/>
      <c r="W923" s="81"/>
      <c r="X923" s="69"/>
      <c r="Y923" s="69"/>
      <c r="Z923" s="69"/>
      <c r="AA923" s="69"/>
      <c r="AB923" s="69"/>
    </row>
    <row r="924" spans="1:28">
      <c r="A924" s="67"/>
      <c r="B924" s="67"/>
      <c r="C924" s="68"/>
      <c r="F924" s="69"/>
      <c r="G924" s="69"/>
      <c r="H924" s="69"/>
      <c r="I924" s="69"/>
      <c r="J924" s="69"/>
      <c r="K924" s="69"/>
      <c r="L924" s="69"/>
      <c r="M924" s="69"/>
      <c r="N924" s="69"/>
      <c r="O924" s="69"/>
      <c r="P924" s="69"/>
      <c r="Q924" s="69"/>
      <c r="R924" s="69"/>
      <c r="S924" s="69"/>
      <c r="T924" s="69"/>
      <c r="U924" s="69"/>
      <c r="V924" s="69"/>
      <c r="W924" s="81"/>
      <c r="X924" s="69"/>
      <c r="Y924" s="69"/>
      <c r="Z924" s="69"/>
      <c r="AA924" s="69"/>
      <c r="AB924" s="69"/>
    </row>
    <row r="925" spans="1:28">
      <c r="A925" s="67"/>
      <c r="B925" s="67"/>
      <c r="C925" s="68"/>
      <c r="F925" s="69"/>
      <c r="G925" s="69"/>
      <c r="H925" s="69"/>
      <c r="I925" s="69"/>
      <c r="J925" s="69"/>
      <c r="K925" s="69"/>
      <c r="L925" s="69"/>
      <c r="M925" s="69"/>
      <c r="N925" s="69"/>
      <c r="O925" s="69"/>
      <c r="P925" s="69"/>
      <c r="Q925" s="69"/>
      <c r="R925" s="69"/>
      <c r="S925" s="69"/>
      <c r="T925" s="69"/>
      <c r="U925" s="69"/>
      <c r="V925" s="69"/>
      <c r="W925" s="81"/>
      <c r="X925" s="69"/>
      <c r="Y925" s="69"/>
      <c r="Z925" s="69"/>
      <c r="AA925" s="69"/>
      <c r="AB925" s="69"/>
    </row>
    <row r="926" spans="1:28">
      <c r="A926" s="67"/>
      <c r="B926" s="67"/>
      <c r="C926" s="68"/>
      <c r="F926" s="69"/>
      <c r="G926" s="69"/>
      <c r="H926" s="69"/>
      <c r="I926" s="69"/>
      <c r="J926" s="69"/>
      <c r="K926" s="69"/>
      <c r="L926" s="69"/>
      <c r="M926" s="69"/>
      <c r="N926" s="69"/>
      <c r="O926" s="69"/>
      <c r="P926" s="69"/>
      <c r="Q926" s="69"/>
      <c r="R926" s="69"/>
      <c r="S926" s="69"/>
      <c r="T926" s="69"/>
      <c r="U926" s="69"/>
      <c r="V926" s="69"/>
      <c r="W926" s="81"/>
      <c r="X926" s="69"/>
      <c r="Y926" s="69"/>
      <c r="Z926" s="69"/>
      <c r="AA926" s="69"/>
      <c r="AB926" s="69"/>
    </row>
    <row r="927" spans="1:28">
      <c r="A927" s="67"/>
      <c r="B927" s="67"/>
      <c r="C927" s="68"/>
      <c r="F927" s="69"/>
      <c r="G927" s="69"/>
      <c r="H927" s="69"/>
      <c r="I927" s="69"/>
      <c r="J927" s="69"/>
      <c r="K927" s="69"/>
      <c r="L927" s="69"/>
      <c r="M927" s="69"/>
      <c r="N927" s="69"/>
      <c r="O927" s="69"/>
      <c r="P927" s="69"/>
      <c r="Q927" s="69"/>
      <c r="R927" s="69"/>
      <c r="S927" s="69"/>
      <c r="T927" s="69"/>
      <c r="U927" s="69"/>
      <c r="V927" s="69"/>
      <c r="W927" s="81"/>
      <c r="X927" s="69"/>
      <c r="Y927" s="69"/>
      <c r="Z927" s="69"/>
      <c r="AA927" s="69"/>
      <c r="AB927" s="69"/>
    </row>
    <row r="928" spans="1:28">
      <c r="A928" s="67"/>
      <c r="B928" s="67"/>
      <c r="C928" s="68"/>
      <c r="F928" s="69"/>
      <c r="G928" s="69"/>
      <c r="H928" s="69"/>
      <c r="I928" s="69"/>
      <c r="J928" s="69"/>
      <c r="K928" s="69"/>
      <c r="L928" s="69"/>
      <c r="M928" s="69"/>
      <c r="N928" s="69"/>
      <c r="O928" s="69"/>
      <c r="P928" s="69"/>
      <c r="Q928" s="69"/>
      <c r="R928" s="69"/>
      <c r="S928" s="69"/>
      <c r="T928" s="69"/>
      <c r="U928" s="69"/>
      <c r="V928" s="69"/>
      <c r="W928" s="81"/>
      <c r="X928" s="69"/>
      <c r="Y928" s="69"/>
      <c r="Z928" s="69"/>
      <c r="AA928" s="69"/>
      <c r="AB928" s="69"/>
    </row>
    <row r="929" spans="1:28">
      <c r="A929" s="67"/>
      <c r="B929" s="67"/>
      <c r="C929" s="68"/>
      <c r="F929" s="69"/>
      <c r="G929" s="69"/>
      <c r="H929" s="69"/>
      <c r="I929" s="69"/>
      <c r="J929" s="69"/>
      <c r="K929" s="69"/>
      <c r="L929" s="69"/>
      <c r="M929" s="69"/>
      <c r="N929" s="69"/>
      <c r="O929" s="69"/>
      <c r="P929" s="69"/>
      <c r="Q929" s="69"/>
      <c r="R929" s="69"/>
      <c r="S929" s="69"/>
      <c r="T929" s="69"/>
      <c r="U929" s="69"/>
      <c r="V929" s="69"/>
      <c r="W929" s="81"/>
      <c r="X929" s="69"/>
      <c r="Y929" s="69"/>
      <c r="Z929" s="69"/>
      <c r="AA929" s="69"/>
      <c r="AB929" s="69"/>
    </row>
    <row r="930" spans="1:28">
      <c r="A930" s="67"/>
      <c r="B930" s="67"/>
      <c r="C930" s="68"/>
      <c r="F930" s="69"/>
      <c r="G930" s="69"/>
      <c r="H930" s="69"/>
      <c r="I930" s="69"/>
      <c r="J930" s="69"/>
      <c r="K930" s="69"/>
      <c r="L930" s="69"/>
      <c r="M930" s="69"/>
      <c r="N930" s="69"/>
      <c r="O930" s="69"/>
      <c r="P930" s="69"/>
      <c r="Q930" s="69"/>
      <c r="R930" s="69"/>
      <c r="S930" s="69"/>
      <c r="T930" s="69"/>
      <c r="U930" s="69"/>
      <c r="V930" s="69"/>
      <c r="W930" s="81"/>
      <c r="X930" s="69"/>
      <c r="Y930" s="69"/>
      <c r="Z930" s="69"/>
      <c r="AA930" s="69"/>
      <c r="AB930" s="69"/>
    </row>
    <row r="931" spans="1:28">
      <c r="A931" s="67"/>
      <c r="B931" s="67"/>
      <c r="C931" s="68"/>
      <c r="F931" s="69"/>
      <c r="G931" s="69"/>
      <c r="H931" s="69"/>
      <c r="I931" s="69"/>
      <c r="J931" s="69"/>
      <c r="K931" s="69"/>
      <c r="L931" s="69"/>
      <c r="M931" s="69"/>
      <c r="N931" s="69"/>
      <c r="O931" s="69"/>
      <c r="P931" s="69"/>
      <c r="Q931" s="69"/>
      <c r="R931" s="69"/>
      <c r="S931" s="69"/>
      <c r="T931" s="69"/>
      <c r="U931" s="69"/>
      <c r="V931" s="69"/>
      <c r="W931" s="81"/>
      <c r="X931" s="69"/>
      <c r="Y931" s="69"/>
      <c r="Z931" s="69"/>
      <c r="AA931" s="69"/>
      <c r="AB931" s="69"/>
    </row>
    <row r="932" spans="1:28">
      <c r="A932" s="67"/>
      <c r="B932" s="67"/>
      <c r="C932" s="68"/>
      <c r="F932" s="69"/>
      <c r="G932" s="69"/>
      <c r="H932" s="69"/>
      <c r="I932" s="69"/>
      <c r="J932" s="69"/>
      <c r="K932" s="69"/>
      <c r="L932" s="69"/>
      <c r="M932" s="69"/>
      <c r="N932" s="69"/>
      <c r="O932" s="69"/>
      <c r="P932" s="69"/>
      <c r="Q932" s="69"/>
      <c r="R932" s="69"/>
      <c r="S932" s="69"/>
      <c r="T932" s="69"/>
      <c r="U932" s="69"/>
      <c r="V932" s="69"/>
      <c r="W932" s="81"/>
      <c r="X932" s="69"/>
      <c r="Y932" s="69"/>
      <c r="Z932" s="69"/>
      <c r="AA932" s="69"/>
      <c r="AB932" s="69"/>
    </row>
    <row r="933" spans="1:28">
      <c r="A933" s="67"/>
      <c r="B933" s="67"/>
      <c r="C933" s="68"/>
      <c r="F933" s="69"/>
      <c r="G933" s="69"/>
      <c r="H933" s="69"/>
      <c r="I933" s="69"/>
      <c r="J933" s="69"/>
      <c r="K933" s="69"/>
      <c r="L933" s="69"/>
      <c r="M933" s="69"/>
      <c r="N933" s="69"/>
      <c r="O933" s="69"/>
      <c r="P933" s="69"/>
      <c r="Q933" s="69"/>
      <c r="R933" s="69"/>
      <c r="S933" s="69"/>
      <c r="T933" s="69"/>
      <c r="U933" s="69"/>
      <c r="V933" s="69"/>
      <c r="W933" s="81"/>
      <c r="X933" s="69"/>
      <c r="Y933" s="69"/>
      <c r="Z933" s="69"/>
      <c r="AA933" s="69"/>
      <c r="AB933" s="69"/>
    </row>
    <row r="934" spans="1:28">
      <c r="A934" s="67"/>
      <c r="B934" s="67"/>
      <c r="C934" s="68"/>
      <c r="F934" s="69"/>
      <c r="G934" s="69"/>
      <c r="H934" s="69"/>
      <c r="I934" s="69"/>
      <c r="J934" s="69"/>
      <c r="K934" s="69"/>
      <c r="L934" s="69"/>
      <c r="M934" s="69"/>
      <c r="N934" s="69"/>
      <c r="O934" s="69"/>
      <c r="P934" s="69"/>
      <c r="Q934" s="69"/>
      <c r="R934" s="69"/>
      <c r="S934" s="69"/>
      <c r="T934" s="69"/>
      <c r="U934" s="69"/>
      <c r="V934" s="69"/>
      <c r="W934" s="81"/>
      <c r="X934" s="69"/>
      <c r="Y934" s="69"/>
      <c r="Z934" s="69"/>
      <c r="AA934" s="69"/>
      <c r="AB934" s="69"/>
    </row>
    <row r="935" spans="1:28">
      <c r="A935" s="67"/>
      <c r="B935" s="67"/>
      <c r="C935" s="68"/>
      <c r="F935" s="69"/>
      <c r="G935" s="69"/>
      <c r="H935" s="69"/>
      <c r="I935" s="69"/>
      <c r="J935" s="69"/>
      <c r="K935" s="69"/>
      <c r="L935" s="69"/>
      <c r="M935" s="69"/>
      <c r="N935" s="69"/>
      <c r="O935" s="69"/>
      <c r="P935" s="69"/>
      <c r="Q935" s="69"/>
      <c r="R935" s="69"/>
      <c r="S935" s="69"/>
      <c r="T935" s="69"/>
      <c r="U935" s="69"/>
      <c r="V935" s="69"/>
      <c r="W935" s="81"/>
      <c r="X935" s="69"/>
      <c r="Y935" s="69"/>
      <c r="Z935" s="69"/>
      <c r="AA935" s="69"/>
      <c r="AB935" s="69"/>
    </row>
    <row r="936" spans="1:28">
      <c r="A936" s="67"/>
      <c r="B936" s="67"/>
      <c r="C936" s="68"/>
      <c r="F936" s="69"/>
      <c r="G936" s="69"/>
      <c r="H936" s="69"/>
      <c r="I936" s="69"/>
      <c r="J936" s="69"/>
      <c r="K936" s="69"/>
      <c r="L936" s="69"/>
      <c r="M936" s="69"/>
      <c r="N936" s="69"/>
      <c r="O936" s="69"/>
      <c r="P936" s="69"/>
      <c r="Q936" s="69"/>
      <c r="R936" s="69"/>
      <c r="S936" s="69"/>
      <c r="T936" s="69"/>
      <c r="U936" s="69"/>
      <c r="V936" s="69"/>
      <c r="W936" s="81"/>
      <c r="X936" s="69"/>
      <c r="Y936" s="69"/>
      <c r="Z936" s="69"/>
      <c r="AA936" s="69"/>
      <c r="AB936" s="69"/>
    </row>
    <row r="937" spans="1:28">
      <c r="A937" s="67"/>
      <c r="B937" s="67"/>
      <c r="C937" s="68"/>
      <c r="F937" s="69"/>
      <c r="G937" s="69"/>
      <c r="H937" s="69"/>
      <c r="I937" s="69"/>
      <c r="J937" s="69"/>
      <c r="K937" s="69"/>
      <c r="L937" s="69"/>
      <c r="M937" s="69"/>
      <c r="N937" s="69"/>
      <c r="O937" s="69"/>
      <c r="P937" s="69"/>
      <c r="Q937" s="69"/>
      <c r="R937" s="69"/>
      <c r="S937" s="69"/>
      <c r="T937" s="69"/>
      <c r="U937" s="69"/>
      <c r="V937" s="69"/>
      <c r="W937" s="81"/>
      <c r="X937" s="69"/>
      <c r="Y937" s="69"/>
      <c r="Z937" s="69"/>
      <c r="AA937" s="69"/>
      <c r="AB937" s="69"/>
    </row>
    <row r="938" spans="1:28">
      <c r="A938" s="67"/>
      <c r="B938" s="67"/>
      <c r="C938" s="68"/>
      <c r="F938" s="69"/>
      <c r="G938" s="69"/>
      <c r="H938" s="69"/>
      <c r="I938" s="69"/>
      <c r="J938" s="69"/>
      <c r="K938" s="69"/>
      <c r="L938" s="69"/>
      <c r="M938" s="69"/>
      <c r="N938" s="69"/>
      <c r="O938" s="69"/>
      <c r="P938" s="69"/>
      <c r="Q938" s="69"/>
      <c r="R938" s="69"/>
      <c r="S938" s="69"/>
      <c r="T938" s="69"/>
      <c r="U938" s="69"/>
      <c r="V938" s="69"/>
      <c r="W938" s="81"/>
      <c r="X938" s="69"/>
      <c r="Y938" s="69"/>
      <c r="Z938" s="69"/>
      <c r="AA938" s="69"/>
      <c r="AB938" s="69"/>
    </row>
    <row r="939" spans="1:28">
      <c r="A939" s="67"/>
      <c r="B939" s="67"/>
      <c r="C939" s="68"/>
      <c r="F939" s="69"/>
      <c r="G939" s="69"/>
      <c r="H939" s="69"/>
      <c r="I939" s="69"/>
      <c r="J939" s="69"/>
      <c r="K939" s="69"/>
      <c r="L939" s="69"/>
      <c r="M939" s="69"/>
      <c r="N939" s="69"/>
      <c r="O939" s="69"/>
      <c r="P939" s="69"/>
      <c r="Q939" s="69"/>
      <c r="R939" s="69"/>
      <c r="S939" s="69"/>
      <c r="T939" s="69"/>
      <c r="U939" s="69"/>
      <c r="V939" s="69"/>
      <c r="W939" s="81"/>
      <c r="X939" s="69"/>
      <c r="Y939" s="69"/>
      <c r="Z939" s="69"/>
      <c r="AA939" s="69"/>
      <c r="AB939" s="69"/>
    </row>
    <row r="940" spans="1:28">
      <c r="A940" s="67"/>
      <c r="B940" s="67"/>
      <c r="C940" s="68"/>
      <c r="F940" s="69"/>
      <c r="G940" s="69"/>
      <c r="H940" s="69"/>
      <c r="I940" s="69"/>
      <c r="J940" s="69"/>
      <c r="K940" s="69"/>
      <c r="L940" s="69"/>
      <c r="M940" s="69"/>
      <c r="N940" s="69"/>
      <c r="O940" s="69"/>
      <c r="P940" s="69"/>
      <c r="Q940" s="69"/>
      <c r="R940" s="69"/>
      <c r="S940" s="69"/>
      <c r="T940" s="69"/>
      <c r="U940" s="69"/>
      <c r="V940" s="69"/>
      <c r="W940" s="81"/>
      <c r="X940" s="69"/>
      <c r="Y940" s="69"/>
      <c r="Z940" s="69"/>
      <c r="AA940" s="69"/>
      <c r="AB940" s="69"/>
    </row>
    <row r="941" spans="1:28">
      <c r="A941" s="67"/>
      <c r="B941" s="67"/>
      <c r="C941" s="68"/>
      <c r="F941" s="69"/>
      <c r="G941" s="69"/>
      <c r="H941" s="69"/>
      <c r="I941" s="69"/>
      <c r="J941" s="69"/>
      <c r="K941" s="69"/>
      <c r="L941" s="69"/>
      <c r="M941" s="69"/>
      <c r="N941" s="69"/>
      <c r="O941" s="69"/>
      <c r="P941" s="69"/>
      <c r="Q941" s="69"/>
      <c r="R941" s="69"/>
      <c r="S941" s="69"/>
      <c r="T941" s="69"/>
      <c r="U941" s="69"/>
      <c r="V941" s="69"/>
      <c r="W941" s="81"/>
      <c r="X941" s="69"/>
      <c r="Y941" s="69"/>
      <c r="Z941" s="69"/>
      <c r="AA941" s="69"/>
      <c r="AB941" s="69"/>
    </row>
    <row r="942" spans="1:28">
      <c r="A942" s="67"/>
      <c r="B942" s="67"/>
      <c r="C942" s="68"/>
      <c r="F942" s="69"/>
      <c r="G942" s="69"/>
      <c r="H942" s="69"/>
      <c r="I942" s="69"/>
      <c r="J942" s="69"/>
      <c r="K942" s="69"/>
      <c r="L942" s="69"/>
      <c r="M942" s="69"/>
      <c r="N942" s="69"/>
      <c r="O942" s="69"/>
      <c r="P942" s="69"/>
      <c r="Q942" s="69"/>
      <c r="R942" s="69"/>
      <c r="S942" s="69"/>
      <c r="T942" s="69"/>
      <c r="U942" s="69"/>
      <c r="V942" s="69"/>
      <c r="W942" s="81"/>
      <c r="X942" s="69"/>
      <c r="Y942" s="69"/>
      <c r="Z942" s="69"/>
      <c r="AA942" s="69"/>
      <c r="AB942" s="69"/>
    </row>
    <row r="943" spans="1:28">
      <c r="A943" s="67"/>
      <c r="B943" s="67"/>
      <c r="C943" s="68"/>
      <c r="F943" s="69"/>
      <c r="G943" s="69"/>
      <c r="H943" s="69"/>
      <c r="I943" s="69"/>
      <c r="J943" s="69"/>
      <c r="K943" s="69"/>
      <c r="L943" s="69"/>
      <c r="M943" s="69"/>
      <c r="N943" s="69"/>
      <c r="O943" s="69"/>
      <c r="P943" s="69"/>
      <c r="Q943" s="69"/>
      <c r="R943" s="69"/>
      <c r="S943" s="69"/>
      <c r="T943" s="69"/>
      <c r="U943" s="69"/>
      <c r="V943" s="69"/>
      <c r="W943" s="81"/>
      <c r="X943" s="69"/>
      <c r="Y943" s="69"/>
      <c r="Z943" s="69"/>
      <c r="AA943" s="69"/>
      <c r="AB943" s="69"/>
    </row>
    <row r="944" spans="1:28">
      <c r="A944" s="67"/>
      <c r="B944" s="67"/>
      <c r="C944" s="68"/>
      <c r="F944" s="69"/>
      <c r="G944" s="69"/>
      <c r="H944" s="69"/>
      <c r="I944" s="69"/>
      <c r="J944" s="69"/>
      <c r="K944" s="69"/>
      <c r="L944" s="69"/>
      <c r="M944" s="69"/>
      <c r="N944" s="69"/>
      <c r="O944" s="69"/>
      <c r="P944" s="69"/>
      <c r="Q944" s="69"/>
      <c r="R944" s="69"/>
      <c r="S944" s="69"/>
      <c r="T944" s="69"/>
      <c r="U944" s="69"/>
      <c r="V944" s="69"/>
      <c r="W944" s="81"/>
      <c r="X944" s="69"/>
      <c r="Y944" s="69"/>
      <c r="Z944" s="69"/>
      <c r="AA944" s="69"/>
      <c r="AB944" s="69"/>
    </row>
    <row r="945" spans="1:28">
      <c r="A945" s="67"/>
      <c r="B945" s="67"/>
      <c r="C945" s="68"/>
      <c r="F945" s="69"/>
      <c r="G945" s="69"/>
      <c r="H945" s="69"/>
      <c r="I945" s="69"/>
      <c r="J945" s="69"/>
      <c r="K945" s="69"/>
      <c r="L945" s="69"/>
      <c r="M945" s="69"/>
      <c r="N945" s="69"/>
      <c r="O945" s="69"/>
      <c r="P945" s="69"/>
      <c r="Q945" s="69"/>
      <c r="R945" s="69"/>
      <c r="S945" s="69"/>
      <c r="T945" s="69"/>
      <c r="U945" s="69"/>
      <c r="V945" s="69"/>
      <c r="W945" s="81"/>
      <c r="X945" s="69"/>
      <c r="Y945" s="69"/>
      <c r="Z945" s="69"/>
      <c r="AA945" s="69"/>
      <c r="AB945" s="69"/>
    </row>
    <row r="946" spans="1:28">
      <c r="A946" s="67"/>
      <c r="B946" s="67"/>
      <c r="C946" s="68"/>
      <c r="F946" s="69"/>
      <c r="G946" s="69"/>
      <c r="H946" s="69"/>
      <c r="I946" s="69"/>
      <c r="J946" s="69"/>
      <c r="K946" s="69"/>
      <c r="L946" s="69"/>
      <c r="M946" s="69"/>
      <c r="N946" s="69"/>
      <c r="O946" s="69"/>
      <c r="P946" s="69"/>
      <c r="Q946" s="69"/>
      <c r="R946" s="69"/>
      <c r="S946" s="69"/>
      <c r="T946" s="69"/>
      <c r="U946" s="69"/>
      <c r="V946" s="69"/>
      <c r="W946" s="81"/>
      <c r="X946" s="69"/>
      <c r="Y946" s="69"/>
      <c r="Z946" s="69"/>
      <c r="AA946" s="69"/>
      <c r="AB946" s="69"/>
    </row>
    <row r="947" spans="1:28">
      <c r="A947" s="67"/>
      <c r="B947" s="67"/>
      <c r="C947" s="68"/>
      <c r="F947" s="69"/>
      <c r="G947" s="69"/>
      <c r="H947" s="69"/>
      <c r="I947" s="69"/>
      <c r="J947" s="69"/>
      <c r="K947" s="69"/>
      <c r="L947" s="69"/>
      <c r="M947" s="69"/>
      <c r="N947" s="69"/>
      <c r="O947" s="69"/>
      <c r="P947" s="69"/>
      <c r="Q947" s="69"/>
      <c r="R947" s="69"/>
      <c r="S947" s="69"/>
      <c r="T947" s="69"/>
      <c r="U947" s="69"/>
      <c r="V947" s="69"/>
      <c r="W947" s="81"/>
      <c r="X947" s="69"/>
      <c r="Y947" s="69"/>
      <c r="Z947" s="69"/>
      <c r="AA947" s="69"/>
      <c r="AB947" s="69"/>
    </row>
    <row r="948" spans="1:28">
      <c r="A948" s="67"/>
      <c r="B948" s="67"/>
      <c r="C948" s="68"/>
      <c r="F948" s="69"/>
      <c r="G948" s="69"/>
      <c r="H948" s="69"/>
      <c r="I948" s="69"/>
      <c r="J948" s="69"/>
      <c r="K948" s="69"/>
      <c r="L948" s="69"/>
      <c r="M948" s="69"/>
      <c r="N948" s="69"/>
      <c r="O948" s="69"/>
      <c r="P948" s="69"/>
      <c r="Q948" s="69"/>
      <c r="R948" s="69"/>
      <c r="S948" s="69"/>
      <c r="T948" s="69"/>
      <c r="U948" s="69"/>
      <c r="V948" s="69"/>
      <c r="W948" s="81"/>
      <c r="X948" s="69"/>
      <c r="Y948" s="69"/>
      <c r="Z948" s="69"/>
      <c r="AA948" s="69"/>
      <c r="AB948" s="69"/>
    </row>
    <row r="949" spans="1:28">
      <c r="A949" s="67"/>
      <c r="B949" s="67"/>
      <c r="C949" s="68"/>
      <c r="F949" s="69"/>
      <c r="G949" s="69"/>
      <c r="H949" s="69"/>
      <c r="I949" s="69"/>
      <c r="J949" s="69"/>
      <c r="K949" s="69"/>
      <c r="L949" s="69"/>
      <c r="M949" s="69"/>
      <c r="N949" s="69"/>
      <c r="O949" s="69"/>
      <c r="P949" s="69"/>
      <c r="Q949" s="69"/>
      <c r="R949" s="69"/>
      <c r="S949" s="69"/>
      <c r="T949" s="69"/>
      <c r="U949" s="69"/>
      <c r="V949" s="69"/>
      <c r="W949" s="81"/>
      <c r="X949" s="69"/>
      <c r="Y949" s="69"/>
      <c r="Z949" s="69"/>
      <c r="AA949" s="69"/>
      <c r="AB949" s="69"/>
    </row>
    <row r="950" spans="1:28">
      <c r="A950" s="67"/>
      <c r="B950" s="67"/>
      <c r="C950" s="68"/>
      <c r="F950" s="69"/>
      <c r="G950" s="69"/>
      <c r="H950" s="69"/>
      <c r="I950" s="69"/>
      <c r="J950" s="69"/>
      <c r="K950" s="69"/>
      <c r="L950" s="69"/>
      <c r="M950" s="69"/>
      <c r="N950" s="69"/>
      <c r="O950" s="69"/>
      <c r="P950" s="69"/>
      <c r="Q950" s="69"/>
      <c r="R950" s="69"/>
      <c r="S950" s="69"/>
      <c r="T950" s="69"/>
      <c r="U950" s="69"/>
      <c r="V950" s="69"/>
      <c r="W950" s="81"/>
      <c r="X950" s="69"/>
      <c r="Y950" s="69"/>
      <c r="Z950" s="69"/>
      <c r="AA950" s="69"/>
      <c r="AB950" s="69"/>
    </row>
    <row r="951" spans="1:28">
      <c r="A951" s="67"/>
      <c r="B951" s="67"/>
      <c r="C951" s="68"/>
      <c r="F951" s="69"/>
      <c r="G951" s="69"/>
      <c r="H951" s="69"/>
      <c r="I951" s="69"/>
      <c r="J951" s="69"/>
      <c r="K951" s="69"/>
      <c r="L951" s="69"/>
      <c r="M951" s="69"/>
      <c r="N951" s="69"/>
      <c r="O951" s="69"/>
      <c r="P951" s="69"/>
      <c r="Q951" s="69"/>
      <c r="R951" s="69"/>
      <c r="S951" s="69"/>
      <c r="T951" s="69"/>
      <c r="U951" s="69"/>
      <c r="V951" s="69"/>
      <c r="W951" s="81"/>
      <c r="X951" s="69"/>
      <c r="Y951" s="69"/>
      <c r="Z951" s="69"/>
      <c r="AA951" s="69"/>
      <c r="AB951" s="69"/>
    </row>
    <row r="952" spans="1:28">
      <c r="A952" s="67"/>
      <c r="B952" s="67"/>
      <c r="C952" s="68"/>
      <c r="F952" s="69"/>
      <c r="G952" s="69"/>
      <c r="H952" s="69"/>
      <c r="I952" s="69"/>
      <c r="J952" s="69"/>
      <c r="K952" s="69"/>
      <c r="L952" s="69"/>
      <c r="M952" s="69"/>
      <c r="N952" s="69"/>
      <c r="O952" s="69"/>
      <c r="P952" s="69"/>
      <c r="Q952" s="69"/>
      <c r="R952" s="69"/>
      <c r="S952" s="69"/>
      <c r="T952" s="69"/>
      <c r="U952" s="69"/>
      <c r="V952" s="69"/>
      <c r="W952" s="81"/>
      <c r="X952" s="69"/>
      <c r="Y952" s="69"/>
      <c r="Z952" s="69"/>
      <c r="AA952" s="69"/>
      <c r="AB952" s="69"/>
    </row>
    <row r="953" spans="1:28">
      <c r="A953" s="67"/>
      <c r="B953" s="67"/>
      <c r="C953" s="68"/>
      <c r="F953" s="69"/>
      <c r="G953" s="69"/>
      <c r="H953" s="69"/>
      <c r="I953" s="69"/>
      <c r="J953" s="69"/>
      <c r="K953" s="69"/>
      <c r="L953" s="69"/>
      <c r="M953" s="69"/>
      <c r="N953" s="69"/>
      <c r="O953" s="69"/>
      <c r="P953" s="69"/>
      <c r="Q953" s="69"/>
      <c r="R953" s="69"/>
      <c r="S953" s="69"/>
      <c r="T953" s="69"/>
      <c r="U953" s="69"/>
      <c r="V953" s="69"/>
      <c r="W953" s="81"/>
      <c r="X953" s="69"/>
      <c r="Y953" s="69"/>
      <c r="Z953" s="69"/>
      <c r="AA953" s="69"/>
      <c r="AB953" s="69"/>
    </row>
    <row r="954" spans="1:28">
      <c r="A954" s="67"/>
      <c r="B954" s="67"/>
      <c r="C954" s="68"/>
      <c r="F954" s="69"/>
      <c r="G954" s="69"/>
      <c r="H954" s="69"/>
      <c r="I954" s="69"/>
      <c r="J954" s="69"/>
      <c r="K954" s="69"/>
      <c r="L954" s="69"/>
      <c r="M954" s="69"/>
      <c r="N954" s="69"/>
      <c r="O954" s="69"/>
      <c r="P954" s="69"/>
      <c r="Q954" s="69"/>
      <c r="R954" s="69"/>
      <c r="S954" s="69"/>
      <c r="T954" s="69"/>
      <c r="U954" s="69"/>
      <c r="V954" s="69"/>
      <c r="W954" s="81"/>
      <c r="X954" s="69"/>
      <c r="Y954" s="69"/>
      <c r="Z954" s="69"/>
      <c r="AA954" s="69"/>
      <c r="AB954" s="69"/>
    </row>
    <row r="955" spans="1:28">
      <c r="A955" s="67"/>
      <c r="B955" s="67"/>
      <c r="C955" s="68"/>
      <c r="F955" s="69"/>
      <c r="G955" s="69"/>
      <c r="H955" s="69"/>
      <c r="I955" s="69"/>
      <c r="J955" s="69"/>
      <c r="K955" s="69"/>
      <c r="L955" s="69"/>
      <c r="M955" s="69"/>
      <c r="N955" s="69"/>
      <c r="O955" s="69"/>
      <c r="P955" s="69"/>
      <c r="Q955" s="69"/>
      <c r="R955" s="69"/>
      <c r="S955" s="69"/>
      <c r="T955" s="69"/>
      <c r="U955" s="69"/>
      <c r="V955" s="69"/>
      <c r="W955" s="81"/>
      <c r="X955" s="69"/>
      <c r="Y955" s="69"/>
      <c r="Z955" s="69"/>
      <c r="AA955" s="69"/>
      <c r="AB955" s="69"/>
    </row>
    <row r="956" spans="1:28">
      <c r="A956" s="67"/>
      <c r="B956" s="67"/>
      <c r="C956" s="68"/>
      <c r="F956" s="69"/>
      <c r="G956" s="69"/>
      <c r="H956" s="69"/>
      <c r="I956" s="69"/>
      <c r="J956" s="69"/>
      <c r="K956" s="69"/>
      <c r="L956" s="69"/>
      <c r="M956" s="69"/>
      <c r="N956" s="69"/>
      <c r="O956" s="69"/>
      <c r="P956" s="69"/>
      <c r="Q956" s="69"/>
      <c r="R956" s="69"/>
      <c r="S956" s="69"/>
      <c r="T956" s="69"/>
      <c r="U956" s="69"/>
      <c r="V956" s="69"/>
      <c r="W956" s="81"/>
      <c r="X956" s="69"/>
      <c r="Y956" s="69"/>
      <c r="Z956" s="69"/>
      <c r="AA956" s="69"/>
      <c r="AB956" s="69"/>
    </row>
    <row r="957" spans="1:28">
      <c r="A957" s="67"/>
      <c r="B957" s="67"/>
      <c r="C957" s="68"/>
      <c r="F957" s="69"/>
      <c r="G957" s="69"/>
      <c r="H957" s="69"/>
      <c r="I957" s="69"/>
      <c r="J957" s="69"/>
      <c r="K957" s="69"/>
      <c r="L957" s="69"/>
      <c r="M957" s="69"/>
      <c r="N957" s="69"/>
      <c r="O957" s="69"/>
      <c r="P957" s="69"/>
      <c r="Q957" s="69"/>
      <c r="R957" s="69"/>
      <c r="S957" s="69"/>
      <c r="T957" s="69"/>
      <c r="U957" s="69"/>
      <c r="V957" s="69"/>
      <c r="W957" s="81"/>
      <c r="X957" s="69"/>
      <c r="Y957" s="69"/>
      <c r="Z957" s="69"/>
      <c r="AA957" s="69"/>
      <c r="AB957" s="69"/>
    </row>
    <row r="958" spans="1:28">
      <c r="A958" s="67"/>
      <c r="B958" s="67"/>
      <c r="C958" s="68"/>
      <c r="F958" s="69"/>
      <c r="G958" s="69"/>
      <c r="H958" s="69"/>
      <c r="I958" s="69"/>
      <c r="J958" s="69"/>
      <c r="K958" s="69"/>
      <c r="L958" s="69"/>
      <c r="M958" s="69"/>
      <c r="N958" s="69"/>
      <c r="O958" s="69"/>
      <c r="P958" s="69"/>
      <c r="Q958" s="69"/>
      <c r="R958" s="69"/>
      <c r="S958" s="69"/>
      <c r="T958" s="69"/>
      <c r="U958" s="69"/>
      <c r="V958" s="69"/>
      <c r="W958" s="81"/>
      <c r="X958" s="69"/>
      <c r="Y958" s="69"/>
      <c r="Z958" s="69"/>
      <c r="AA958" s="69"/>
      <c r="AB958" s="69"/>
    </row>
    <row r="959" spans="1:28">
      <c r="A959" s="67"/>
      <c r="B959" s="67"/>
      <c r="C959" s="68"/>
      <c r="F959" s="69"/>
      <c r="G959" s="69"/>
      <c r="H959" s="69"/>
      <c r="I959" s="69"/>
      <c r="J959" s="69"/>
      <c r="K959" s="69"/>
      <c r="L959" s="69"/>
      <c r="M959" s="69"/>
      <c r="N959" s="69"/>
      <c r="O959" s="69"/>
      <c r="P959" s="69"/>
      <c r="Q959" s="69"/>
      <c r="R959" s="69"/>
      <c r="S959" s="69"/>
      <c r="T959" s="69"/>
      <c r="U959" s="69"/>
      <c r="V959" s="69"/>
      <c r="W959" s="81"/>
      <c r="X959" s="69"/>
      <c r="Y959" s="69"/>
      <c r="Z959" s="69"/>
      <c r="AA959" s="69"/>
      <c r="AB959" s="69"/>
    </row>
    <row r="960" spans="1:28">
      <c r="A960" s="67"/>
      <c r="B960" s="67"/>
      <c r="C960" s="68"/>
      <c r="F960" s="69"/>
      <c r="G960" s="69"/>
      <c r="H960" s="69"/>
      <c r="I960" s="69"/>
      <c r="J960" s="69"/>
      <c r="K960" s="69"/>
      <c r="L960" s="69"/>
      <c r="M960" s="69"/>
      <c r="N960" s="69"/>
      <c r="O960" s="69"/>
      <c r="P960" s="69"/>
      <c r="Q960" s="69"/>
      <c r="R960" s="69"/>
      <c r="S960" s="69"/>
      <c r="T960" s="69"/>
      <c r="U960" s="69"/>
      <c r="V960" s="69"/>
      <c r="W960" s="81"/>
      <c r="X960" s="69"/>
      <c r="Y960" s="69"/>
      <c r="Z960" s="69"/>
      <c r="AA960" s="69"/>
      <c r="AB960" s="69"/>
    </row>
    <row r="961" spans="1:28">
      <c r="A961" s="67"/>
      <c r="B961" s="67"/>
      <c r="C961" s="68"/>
      <c r="F961" s="69"/>
      <c r="G961" s="69"/>
      <c r="H961" s="69"/>
      <c r="I961" s="69"/>
      <c r="J961" s="69"/>
      <c r="K961" s="69"/>
      <c r="L961" s="69"/>
      <c r="M961" s="69"/>
      <c r="N961" s="69"/>
      <c r="O961" s="69"/>
      <c r="P961" s="69"/>
      <c r="Q961" s="69"/>
      <c r="R961" s="69"/>
      <c r="S961" s="69"/>
      <c r="T961" s="69"/>
      <c r="U961" s="69"/>
      <c r="V961" s="69"/>
      <c r="W961" s="81"/>
      <c r="X961" s="69"/>
      <c r="Y961" s="69"/>
      <c r="Z961" s="69"/>
      <c r="AA961" s="69"/>
      <c r="AB961" s="69"/>
    </row>
    <row r="962" spans="1:28">
      <c r="A962" s="67"/>
      <c r="B962" s="67"/>
      <c r="C962" s="68"/>
      <c r="F962" s="69"/>
      <c r="G962" s="69"/>
      <c r="H962" s="69"/>
      <c r="I962" s="69"/>
      <c r="J962" s="69"/>
      <c r="K962" s="69"/>
      <c r="L962" s="69"/>
      <c r="M962" s="69"/>
      <c r="N962" s="69"/>
      <c r="O962" s="69"/>
      <c r="P962" s="69"/>
      <c r="Q962" s="69"/>
      <c r="R962" s="69"/>
      <c r="S962" s="69"/>
      <c r="T962" s="69"/>
      <c r="U962" s="69"/>
      <c r="V962" s="69"/>
      <c r="W962" s="81"/>
      <c r="X962" s="69"/>
      <c r="Y962" s="69"/>
      <c r="Z962" s="69"/>
      <c r="AA962" s="69"/>
      <c r="AB962" s="69"/>
    </row>
    <row r="963" spans="1:28">
      <c r="A963" s="67"/>
      <c r="B963" s="67"/>
      <c r="C963" s="68"/>
      <c r="F963" s="69"/>
      <c r="G963" s="69"/>
      <c r="H963" s="69"/>
      <c r="I963" s="69"/>
      <c r="J963" s="69"/>
      <c r="K963" s="69"/>
      <c r="L963" s="69"/>
      <c r="M963" s="69"/>
      <c r="N963" s="69"/>
      <c r="O963" s="69"/>
      <c r="P963" s="69"/>
      <c r="Q963" s="69"/>
      <c r="R963" s="69"/>
      <c r="S963" s="69"/>
      <c r="T963" s="69"/>
      <c r="U963" s="69"/>
      <c r="V963" s="69"/>
      <c r="W963" s="81"/>
      <c r="X963" s="69"/>
      <c r="Y963" s="69"/>
      <c r="Z963" s="69"/>
      <c r="AA963" s="69"/>
      <c r="AB963" s="69"/>
    </row>
    <row r="964" spans="1:28">
      <c r="A964" s="67"/>
      <c r="B964" s="67"/>
      <c r="C964" s="68"/>
      <c r="F964" s="69"/>
      <c r="G964" s="69"/>
      <c r="H964" s="69"/>
      <c r="I964" s="69"/>
      <c r="J964" s="69"/>
      <c r="K964" s="69"/>
      <c r="L964" s="69"/>
      <c r="M964" s="69"/>
      <c r="N964" s="69"/>
      <c r="O964" s="69"/>
      <c r="P964" s="69"/>
      <c r="Q964" s="69"/>
      <c r="R964" s="69"/>
      <c r="S964" s="69"/>
      <c r="T964" s="69"/>
      <c r="U964" s="69"/>
      <c r="V964" s="69"/>
      <c r="W964" s="81"/>
      <c r="X964" s="69"/>
      <c r="Y964" s="69"/>
      <c r="Z964" s="69"/>
      <c r="AA964" s="69"/>
      <c r="AB964" s="69"/>
    </row>
    <row r="965" spans="1:28">
      <c r="A965" s="67"/>
      <c r="B965" s="67"/>
      <c r="C965" s="68"/>
      <c r="F965" s="69"/>
      <c r="G965" s="69"/>
      <c r="H965" s="69"/>
      <c r="I965" s="69"/>
      <c r="J965" s="69"/>
      <c r="K965" s="69"/>
      <c r="L965" s="69"/>
      <c r="M965" s="69"/>
      <c r="N965" s="69"/>
      <c r="O965" s="69"/>
      <c r="P965" s="69"/>
      <c r="Q965" s="69"/>
      <c r="R965" s="69"/>
      <c r="S965" s="69"/>
      <c r="T965" s="69"/>
      <c r="U965" s="69"/>
      <c r="V965" s="69"/>
      <c r="W965" s="81"/>
      <c r="X965" s="69"/>
      <c r="Y965" s="69"/>
      <c r="Z965" s="69"/>
      <c r="AA965" s="69"/>
      <c r="AB965" s="69"/>
    </row>
    <row r="966" spans="1:28">
      <c r="A966" s="67"/>
      <c r="B966" s="67"/>
      <c r="C966" s="68"/>
      <c r="F966" s="69"/>
      <c r="G966" s="69"/>
      <c r="H966" s="69"/>
      <c r="I966" s="69"/>
      <c r="J966" s="69"/>
      <c r="K966" s="69"/>
      <c r="L966" s="69"/>
      <c r="M966" s="69"/>
      <c r="N966" s="69"/>
      <c r="O966" s="69"/>
      <c r="P966" s="69"/>
      <c r="Q966" s="69"/>
      <c r="R966" s="69"/>
      <c r="S966" s="69"/>
      <c r="T966" s="69"/>
      <c r="U966" s="69"/>
      <c r="V966" s="69"/>
      <c r="W966" s="81"/>
      <c r="X966" s="69"/>
      <c r="Y966" s="69"/>
      <c r="Z966" s="69"/>
      <c r="AA966" s="69"/>
      <c r="AB966" s="69"/>
    </row>
    <row r="967" spans="1:28">
      <c r="A967" s="67"/>
      <c r="B967" s="67"/>
      <c r="C967" s="68"/>
      <c r="F967" s="69"/>
      <c r="G967" s="69"/>
      <c r="H967" s="69"/>
      <c r="I967" s="69"/>
      <c r="J967" s="69"/>
      <c r="K967" s="69"/>
      <c r="L967" s="69"/>
      <c r="M967" s="69"/>
      <c r="N967" s="69"/>
      <c r="O967" s="69"/>
      <c r="P967" s="69"/>
      <c r="Q967" s="69"/>
      <c r="R967" s="69"/>
      <c r="S967" s="69"/>
      <c r="T967" s="69"/>
      <c r="U967" s="69"/>
      <c r="V967" s="69"/>
      <c r="W967" s="81"/>
      <c r="X967" s="69"/>
      <c r="Y967" s="69"/>
      <c r="Z967" s="69"/>
      <c r="AA967" s="69"/>
      <c r="AB967" s="69"/>
    </row>
    <row r="968" spans="1:28">
      <c r="A968" s="67"/>
      <c r="B968" s="67"/>
      <c r="C968" s="68"/>
      <c r="F968" s="69"/>
      <c r="G968" s="69"/>
      <c r="H968" s="69"/>
      <c r="I968" s="69"/>
      <c r="J968" s="69"/>
      <c r="K968" s="69"/>
      <c r="L968" s="69"/>
      <c r="M968" s="69"/>
      <c r="N968" s="69"/>
      <c r="O968" s="69"/>
      <c r="P968" s="69"/>
      <c r="Q968" s="69"/>
      <c r="R968" s="69"/>
      <c r="S968" s="69"/>
      <c r="T968" s="69"/>
      <c r="U968" s="69"/>
      <c r="V968" s="69"/>
      <c r="W968" s="81"/>
      <c r="X968" s="69"/>
      <c r="Y968" s="69"/>
      <c r="Z968" s="69"/>
      <c r="AA968" s="69"/>
      <c r="AB968" s="69"/>
    </row>
    <row r="969" spans="1:28">
      <c r="A969" s="67"/>
      <c r="B969" s="67"/>
      <c r="C969" s="68"/>
      <c r="F969" s="69"/>
      <c r="G969" s="69"/>
      <c r="H969" s="69"/>
      <c r="I969" s="69"/>
      <c r="J969" s="69"/>
      <c r="K969" s="69"/>
      <c r="L969" s="69"/>
      <c r="M969" s="69"/>
      <c r="N969" s="69"/>
      <c r="O969" s="69"/>
      <c r="P969" s="69"/>
      <c r="Q969" s="69"/>
      <c r="R969" s="69"/>
      <c r="S969" s="69"/>
      <c r="T969" s="69"/>
      <c r="U969" s="69"/>
      <c r="V969" s="69"/>
      <c r="W969" s="81"/>
      <c r="X969" s="69"/>
      <c r="Y969" s="69"/>
      <c r="Z969" s="69"/>
      <c r="AA969" s="69"/>
      <c r="AB969" s="69"/>
    </row>
    <row r="970" spans="1:28">
      <c r="A970" s="67"/>
      <c r="B970" s="67"/>
      <c r="C970" s="68"/>
      <c r="F970" s="69"/>
      <c r="G970" s="69"/>
      <c r="H970" s="69"/>
      <c r="I970" s="69"/>
      <c r="J970" s="69"/>
      <c r="K970" s="69"/>
      <c r="L970" s="69"/>
      <c r="M970" s="69"/>
      <c r="N970" s="69"/>
      <c r="O970" s="69"/>
      <c r="P970" s="69"/>
      <c r="Q970" s="69"/>
      <c r="R970" s="69"/>
      <c r="S970" s="69"/>
      <c r="T970" s="69"/>
      <c r="U970" s="69"/>
      <c r="V970" s="69"/>
      <c r="W970" s="81"/>
      <c r="X970" s="69"/>
      <c r="Y970" s="69"/>
      <c r="Z970" s="69"/>
      <c r="AA970" s="69"/>
      <c r="AB970" s="69"/>
    </row>
    <row r="971" spans="1:28">
      <c r="A971" s="67"/>
      <c r="B971" s="67"/>
      <c r="C971" s="68"/>
      <c r="F971" s="69"/>
      <c r="G971" s="69"/>
      <c r="H971" s="69"/>
      <c r="I971" s="69"/>
      <c r="J971" s="69"/>
      <c r="K971" s="69"/>
      <c r="L971" s="69"/>
      <c r="M971" s="69"/>
      <c r="N971" s="69"/>
      <c r="O971" s="69"/>
      <c r="P971" s="69"/>
      <c r="Q971" s="69"/>
      <c r="R971" s="69"/>
      <c r="S971" s="69"/>
      <c r="T971" s="69"/>
      <c r="U971" s="69"/>
      <c r="V971" s="69"/>
      <c r="W971" s="81"/>
      <c r="X971" s="69"/>
      <c r="Y971" s="69"/>
      <c r="Z971" s="69"/>
      <c r="AA971" s="69"/>
      <c r="AB971" s="69"/>
    </row>
    <row r="972" spans="1:28">
      <c r="A972" s="67"/>
      <c r="B972" s="67"/>
      <c r="C972" s="68"/>
      <c r="F972" s="69"/>
      <c r="G972" s="69"/>
      <c r="H972" s="69"/>
      <c r="I972" s="69"/>
      <c r="J972" s="69"/>
      <c r="K972" s="69"/>
      <c r="L972" s="69"/>
      <c r="M972" s="69"/>
      <c r="N972" s="69"/>
      <c r="O972" s="69"/>
      <c r="P972" s="69"/>
      <c r="Q972" s="69"/>
      <c r="R972" s="69"/>
      <c r="S972" s="69"/>
      <c r="T972" s="69"/>
      <c r="U972" s="69"/>
      <c r="V972" s="69"/>
      <c r="W972" s="81"/>
      <c r="X972" s="69"/>
      <c r="Y972" s="69"/>
      <c r="Z972" s="69"/>
      <c r="AA972" s="69"/>
      <c r="AB972" s="69"/>
    </row>
    <row r="973" spans="1:28">
      <c r="A973" s="67"/>
      <c r="B973" s="67"/>
      <c r="C973" s="68"/>
      <c r="F973" s="69"/>
      <c r="G973" s="69"/>
      <c r="H973" s="69"/>
      <c r="I973" s="69"/>
      <c r="J973" s="69"/>
      <c r="K973" s="69"/>
      <c r="L973" s="69"/>
      <c r="M973" s="69"/>
      <c r="N973" s="69"/>
      <c r="O973" s="69"/>
      <c r="P973" s="69"/>
      <c r="Q973" s="69"/>
      <c r="R973" s="69"/>
      <c r="S973" s="69"/>
      <c r="T973" s="69"/>
      <c r="U973" s="69"/>
      <c r="V973" s="69"/>
      <c r="W973" s="81"/>
      <c r="X973" s="69"/>
      <c r="Y973" s="69"/>
      <c r="Z973" s="69"/>
      <c r="AA973" s="69"/>
      <c r="AB973" s="69"/>
    </row>
    <row r="974" spans="1:28">
      <c r="A974" s="67"/>
      <c r="B974" s="67"/>
      <c r="C974" s="68"/>
      <c r="F974" s="69"/>
      <c r="G974" s="69"/>
      <c r="H974" s="69"/>
      <c r="I974" s="69"/>
      <c r="J974" s="69"/>
      <c r="K974" s="69"/>
      <c r="L974" s="69"/>
      <c r="M974" s="69"/>
      <c r="N974" s="69"/>
      <c r="O974" s="69"/>
      <c r="P974" s="69"/>
      <c r="Q974" s="69"/>
      <c r="R974" s="69"/>
      <c r="S974" s="69"/>
      <c r="T974" s="69"/>
      <c r="U974" s="69"/>
      <c r="V974" s="69"/>
      <c r="W974" s="81"/>
      <c r="X974" s="69"/>
      <c r="Y974" s="69"/>
      <c r="Z974" s="69"/>
      <c r="AA974" s="69"/>
      <c r="AB974" s="69"/>
    </row>
    <row r="975" spans="1:28">
      <c r="A975" s="67"/>
      <c r="B975" s="67"/>
      <c r="C975" s="68"/>
      <c r="F975" s="69"/>
      <c r="G975" s="69"/>
      <c r="H975" s="69"/>
      <c r="I975" s="69"/>
      <c r="J975" s="69"/>
      <c r="K975" s="69"/>
      <c r="L975" s="69"/>
      <c r="M975" s="69"/>
      <c r="N975" s="69"/>
      <c r="O975" s="69"/>
      <c r="P975" s="69"/>
      <c r="Q975" s="69"/>
      <c r="R975" s="69"/>
      <c r="S975" s="69"/>
      <c r="T975" s="69"/>
      <c r="U975" s="69"/>
      <c r="V975" s="69"/>
      <c r="W975" s="81"/>
      <c r="X975" s="69"/>
      <c r="Y975" s="69"/>
      <c r="Z975" s="69"/>
      <c r="AA975" s="69"/>
      <c r="AB975" s="69"/>
    </row>
    <row r="976" spans="1:28">
      <c r="A976" s="67"/>
      <c r="B976" s="67"/>
      <c r="C976" s="68"/>
      <c r="F976" s="69"/>
      <c r="G976" s="69"/>
      <c r="H976" s="69"/>
      <c r="I976" s="69"/>
      <c r="J976" s="69"/>
      <c r="K976" s="69"/>
      <c r="L976" s="69"/>
      <c r="M976" s="69"/>
      <c r="N976" s="69"/>
      <c r="O976" s="69"/>
      <c r="P976" s="69"/>
      <c r="Q976" s="69"/>
      <c r="R976" s="69"/>
      <c r="S976" s="69"/>
      <c r="T976" s="69"/>
      <c r="U976" s="69"/>
      <c r="V976" s="69"/>
      <c r="W976" s="81"/>
      <c r="X976" s="69"/>
      <c r="Y976" s="69"/>
      <c r="Z976" s="69"/>
      <c r="AA976" s="69"/>
      <c r="AB976" s="69"/>
    </row>
    <row r="977" spans="1:28">
      <c r="A977" s="67"/>
      <c r="B977" s="67"/>
      <c r="C977" s="68"/>
      <c r="F977" s="69"/>
      <c r="G977" s="69"/>
      <c r="H977" s="69"/>
      <c r="I977" s="69"/>
      <c r="J977" s="69"/>
      <c r="K977" s="69"/>
      <c r="L977" s="69"/>
      <c r="M977" s="69"/>
      <c r="N977" s="69"/>
      <c r="O977" s="69"/>
      <c r="P977" s="69"/>
      <c r="Q977" s="69"/>
      <c r="R977" s="69"/>
      <c r="S977" s="69"/>
      <c r="T977" s="69"/>
      <c r="U977" s="69"/>
      <c r="V977" s="69"/>
      <c r="W977" s="81"/>
      <c r="X977" s="69"/>
      <c r="Y977" s="69"/>
      <c r="Z977" s="69"/>
      <c r="AA977" s="69"/>
      <c r="AB977" s="69"/>
    </row>
    <row r="978" spans="1:28">
      <c r="A978" s="67"/>
      <c r="B978" s="67"/>
      <c r="C978" s="68"/>
      <c r="F978" s="69"/>
      <c r="G978" s="69"/>
      <c r="H978" s="69"/>
      <c r="I978" s="69"/>
      <c r="J978" s="69"/>
      <c r="K978" s="69"/>
      <c r="L978" s="69"/>
      <c r="M978" s="69"/>
      <c r="N978" s="69"/>
      <c r="O978" s="69"/>
      <c r="P978" s="69"/>
      <c r="Q978" s="69"/>
      <c r="R978" s="69"/>
      <c r="S978" s="69"/>
      <c r="T978" s="69"/>
      <c r="U978" s="69"/>
      <c r="V978" s="69"/>
      <c r="W978" s="81"/>
      <c r="X978" s="69"/>
      <c r="Y978" s="69"/>
      <c r="Z978" s="69"/>
      <c r="AA978" s="69"/>
      <c r="AB978" s="69"/>
    </row>
    <row r="979" spans="1:28">
      <c r="A979" s="67"/>
      <c r="B979" s="67"/>
      <c r="C979" s="68"/>
      <c r="F979" s="69"/>
      <c r="G979" s="69"/>
      <c r="H979" s="69"/>
      <c r="I979" s="69"/>
      <c r="J979" s="69"/>
      <c r="K979" s="69"/>
      <c r="L979" s="69"/>
      <c r="M979" s="69"/>
      <c r="N979" s="69"/>
      <c r="O979" s="69"/>
      <c r="P979" s="69"/>
      <c r="Q979" s="69"/>
      <c r="R979" s="69"/>
      <c r="S979" s="69"/>
      <c r="T979" s="69"/>
      <c r="U979" s="69"/>
      <c r="V979" s="69"/>
      <c r="W979" s="81"/>
      <c r="X979" s="69"/>
      <c r="Y979" s="69"/>
      <c r="Z979" s="69"/>
      <c r="AA979" s="69"/>
      <c r="AB979" s="69"/>
    </row>
    <row r="980" spans="1:28">
      <c r="A980" s="67"/>
      <c r="B980" s="67"/>
      <c r="C980" s="68"/>
      <c r="F980" s="69"/>
      <c r="G980" s="69"/>
      <c r="H980" s="69"/>
      <c r="I980" s="69"/>
      <c r="J980" s="69"/>
      <c r="K980" s="69"/>
      <c r="L980" s="69"/>
      <c r="M980" s="69"/>
      <c r="N980" s="69"/>
      <c r="O980" s="69"/>
      <c r="P980" s="69"/>
      <c r="Q980" s="69"/>
      <c r="R980" s="69"/>
      <c r="S980" s="69"/>
      <c r="T980" s="69"/>
      <c r="U980" s="69"/>
      <c r="V980" s="69"/>
      <c r="W980" s="81"/>
      <c r="X980" s="69"/>
      <c r="Y980" s="69"/>
      <c r="Z980" s="69"/>
      <c r="AA980" s="69"/>
      <c r="AB980" s="69"/>
    </row>
    <row r="981" spans="1:28">
      <c r="A981" s="67"/>
      <c r="B981" s="67"/>
      <c r="C981" s="68"/>
      <c r="F981" s="69"/>
      <c r="G981" s="69"/>
      <c r="H981" s="69"/>
      <c r="I981" s="69"/>
      <c r="J981" s="69"/>
      <c r="K981" s="69"/>
      <c r="L981" s="69"/>
      <c r="M981" s="69"/>
      <c r="N981" s="69"/>
      <c r="O981" s="69"/>
      <c r="P981" s="69"/>
      <c r="Q981" s="69"/>
      <c r="R981" s="69"/>
      <c r="S981" s="69"/>
      <c r="T981" s="69"/>
      <c r="U981" s="69"/>
      <c r="V981" s="69"/>
      <c r="W981" s="81"/>
      <c r="X981" s="69"/>
      <c r="Y981" s="69"/>
      <c r="Z981" s="69"/>
      <c r="AA981" s="69"/>
      <c r="AB981" s="69"/>
    </row>
    <row r="982" spans="1:28">
      <c r="A982" s="67"/>
      <c r="B982" s="67"/>
      <c r="C982" s="68"/>
      <c r="F982" s="69"/>
      <c r="G982" s="69"/>
      <c r="H982" s="69"/>
      <c r="I982" s="69"/>
      <c r="J982" s="69"/>
      <c r="K982" s="69"/>
      <c r="L982" s="69"/>
      <c r="M982" s="69"/>
      <c r="N982" s="69"/>
      <c r="O982" s="69"/>
      <c r="P982" s="69"/>
      <c r="Q982" s="69"/>
      <c r="R982" s="69"/>
      <c r="S982" s="69"/>
      <c r="T982" s="69"/>
      <c r="U982" s="69"/>
      <c r="V982" s="69"/>
      <c r="W982" s="81"/>
      <c r="X982" s="69"/>
      <c r="Y982" s="69"/>
      <c r="Z982" s="69"/>
      <c r="AA982" s="69"/>
      <c r="AB982" s="69"/>
    </row>
    <row r="983" spans="1:28">
      <c r="A983" s="67"/>
      <c r="B983" s="67"/>
      <c r="C983" s="68"/>
      <c r="F983" s="69"/>
      <c r="G983" s="69"/>
      <c r="H983" s="69"/>
      <c r="I983" s="69"/>
      <c r="J983" s="69"/>
      <c r="K983" s="69"/>
      <c r="L983" s="69"/>
      <c r="M983" s="69"/>
      <c r="N983" s="69"/>
      <c r="O983" s="69"/>
      <c r="P983" s="69"/>
      <c r="Q983" s="69"/>
      <c r="R983" s="69"/>
      <c r="S983" s="69"/>
      <c r="T983" s="69"/>
      <c r="U983" s="69"/>
      <c r="V983" s="69"/>
      <c r="W983" s="81"/>
      <c r="X983" s="69"/>
      <c r="Y983" s="69"/>
      <c r="Z983" s="69"/>
      <c r="AA983" s="69"/>
      <c r="AB983" s="69"/>
    </row>
    <row r="984" spans="1:28">
      <c r="A984" s="67"/>
      <c r="B984" s="67"/>
      <c r="C984" s="68"/>
      <c r="F984" s="69"/>
      <c r="G984" s="69"/>
      <c r="H984" s="69"/>
      <c r="I984" s="69"/>
      <c r="J984" s="69"/>
      <c r="K984" s="69"/>
      <c r="L984" s="69"/>
      <c r="M984" s="69"/>
      <c r="N984" s="69"/>
      <c r="O984" s="69"/>
      <c r="P984" s="69"/>
      <c r="Q984" s="69"/>
      <c r="R984" s="69"/>
      <c r="S984" s="69"/>
      <c r="T984" s="69"/>
      <c r="U984" s="69"/>
      <c r="V984" s="69"/>
      <c r="W984" s="81"/>
      <c r="X984" s="69"/>
      <c r="Y984" s="69"/>
      <c r="Z984" s="69"/>
      <c r="AA984" s="69"/>
      <c r="AB984" s="69"/>
    </row>
    <row r="985" spans="1:28">
      <c r="A985" s="67"/>
      <c r="B985" s="67"/>
      <c r="C985" s="68"/>
      <c r="F985" s="69"/>
      <c r="G985" s="69"/>
      <c r="H985" s="69"/>
      <c r="I985" s="69"/>
      <c r="J985" s="69"/>
      <c r="K985" s="69"/>
      <c r="L985" s="69"/>
      <c r="M985" s="69"/>
      <c r="N985" s="69"/>
      <c r="O985" s="69"/>
      <c r="P985" s="69"/>
      <c r="Q985" s="69"/>
      <c r="R985" s="69"/>
      <c r="S985" s="69"/>
      <c r="T985" s="69"/>
      <c r="U985" s="69"/>
      <c r="V985" s="69"/>
      <c r="W985" s="81"/>
      <c r="X985" s="69"/>
      <c r="Y985" s="69"/>
      <c r="Z985" s="69"/>
      <c r="AA985" s="69"/>
      <c r="AB985" s="69"/>
    </row>
    <row r="986" spans="1:28">
      <c r="A986" s="67"/>
      <c r="B986" s="67"/>
      <c r="C986" s="68"/>
      <c r="F986" s="69"/>
      <c r="G986" s="69"/>
      <c r="H986" s="69"/>
      <c r="I986" s="69"/>
      <c r="J986" s="69"/>
      <c r="K986" s="69"/>
      <c r="L986" s="69"/>
      <c r="M986" s="69"/>
      <c r="N986" s="69"/>
      <c r="O986" s="69"/>
      <c r="P986" s="69"/>
      <c r="Q986" s="69"/>
      <c r="R986" s="69"/>
      <c r="S986" s="69"/>
      <c r="T986" s="69"/>
      <c r="U986" s="69"/>
      <c r="V986" s="69"/>
      <c r="W986" s="81"/>
      <c r="X986" s="69"/>
      <c r="Y986" s="69"/>
      <c r="Z986" s="69"/>
      <c r="AA986" s="69"/>
      <c r="AB986" s="69"/>
    </row>
    <row r="987" spans="1:28">
      <c r="A987" s="67"/>
      <c r="B987" s="67"/>
      <c r="C987" s="68"/>
      <c r="F987" s="69"/>
      <c r="G987" s="69"/>
      <c r="H987" s="69"/>
      <c r="I987" s="69"/>
      <c r="J987" s="69"/>
      <c r="K987" s="69"/>
      <c r="L987" s="69"/>
      <c r="M987" s="69"/>
      <c r="N987" s="69"/>
      <c r="O987" s="69"/>
      <c r="P987" s="69"/>
      <c r="Q987" s="69"/>
      <c r="R987" s="69"/>
      <c r="S987" s="69"/>
      <c r="T987" s="69"/>
      <c r="U987" s="69"/>
      <c r="V987" s="69"/>
      <c r="W987" s="81"/>
      <c r="X987" s="69"/>
      <c r="Y987" s="69"/>
      <c r="Z987" s="69"/>
      <c r="AA987" s="69"/>
      <c r="AB987" s="69"/>
    </row>
    <row r="988" spans="1:28">
      <c r="A988" s="67"/>
      <c r="B988" s="67"/>
      <c r="C988" s="68"/>
      <c r="F988" s="69"/>
      <c r="G988" s="69"/>
      <c r="H988" s="69"/>
      <c r="I988" s="69"/>
      <c r="J988" s="69"/>
      <c r="K988" s="69"/>
      <c r="L988" s="69"/>
      <c r="M988" s="69"/>
      <c r="N988" s="69"/>
      <c r="O988" s="69"/>
      <c r="P988" s="69"/>
      <c r="Q988" s="69"/>
      <c r="R988" s="69"/>
      <c r="S988" s="69"/>
      <c r="T988" s="69"/>
      <c r="U988" s="69"/>
      <c r="V988" s="69"/>
      <c r="W988" s="81"/>
      <c r="X988" s="69"/>
      <c r="Y988" s="69"/>
      <c r="Z988" s="69"/>
      <c r="AA988" s="69"/>
      <c r="AB988" s="69"/>
    </row>
    <row r="989" spans="1:28">
      <c r="A989" s="67"/>
      <c r="B989" s="67"/>
      <c r="C989" s="68"/>
      <c r="F989" s="69"/>
      <c r="G989" s="69"/>
      <c r="H989" s="69"/>
      <c r="I989" s="69"/>
      <c r="J989" s="69"/>
      <c r="K989" s="69"/>
      <c r="L989" s="69"/>
      <c r="M989" s="69"/>
      <c r="N989" s="69"/>
      <c r="O989" s="69"/>
      <c r="P989" s="69"/>
      <c r="Q989" s="69"/>
      <c r="R989" s="69"/>
      <c r="S989" s="69"/>
      <c r="T989" s="69"/>
      <c r="U989" s="69"/>
      <c r="V989" s="69"/>
      <c r="W989" s="81"/>
      <c r="X989" s="69"/>
      <c r="Y989" s="69"/>
      <c r="Z989" s="69"/>
      <c r="AA989" s="69"/>
      <c r="AB989" s="69"/>
    </row>
    <row r="990" spans="1:28">
      <c r="A990" s="67"/>
      <c r="B990" s="67"/>
      <c r="C990" s="68"/>
      <c r="F990" s="69"/>
      <c r="G990" s="69"/>
      <c r="H990" s="69"/>
      <c r="I990" s="69"/>
      <c r="J990" s="69"/>
      <c r="K990" s="69"/>
      <c r="L990" s="69"/>
      <c r="M990" s="69"/>
      <c r="N990" s="69"/>
      <c r="O990" s="69"/>
      <c r="P990" s="69"/>
      <c r="Q990" s="69"/>
      <c r="R990" s="69"/>
      <c r="S990" s="69"/>
      <c r="T990" s="69"/>
      <c r="U990" s="69"/>
      <c r="V990" s="69"/>
      <c r="W990" s="81"/>
      <c r="X990" s="69"/>
      <c r="Y990" s="69"/>
      <c r="Z990" s="69"/>
      <c r="AA990" s="69"/>
      <c r="AB990" s="69"/>
    </row>
    <row r="991" spans="1:28">
      <c r="A991" s="67"/>
      <c r="B991" s="67"/>
      <c r="C991" s="68"/>
      <c r="F991" s="69"/>
      <c r="G991" s="69"/>
      <c r="H991" s="69"/>
      <c r="I991" s="69"/>
      <c r="J991" s="69"/>
      <c r="K991" s="69"/>
      <c r="L991" s="69"/>
      <c r="M991" s="69"/>
      <c r="N991" s="69"/>
      <c r="O991" s="69"/>
      <c r="P991" s="69"/>
      <c r="Q991" s="69"/>
      <c r="R991" s="69"/>
      <c r="S991" s="69"/>
      <c r="T991" s="69"/>
      <c r="U991" s="69"/>
      <c r="V991" s="69"/>
      <c r="W991" s="81"/>
      <c r="X991" s="69"/>
      <c r="Y991" s="69"/>
      <c r="Z991" s="69"/>
      <c r="AA991" s="69"/>
      <c r="AB991" s="69"/>
    </row>
    <row r="992" spans="1:28">
      <c r="A992" s="67"/>
      <c r="B992" s="67"/>
      <c r="C992" s="68"/>
      <c r="F992" s="69"/>
      <c r="G992" s="69"/>
      <c r="H992" s="69"/>
      <c r="I992" s="69"/>
      <c r="J992" s="69"/>
      <c r="K992" s="69"/>
      <c r="L992" s="69"/>
      <c r="M992" s="69"/>
      <c r="N992" s="69"/>
      <c r="O992" s="69"/>
      <c r="P992" s="69"/>
      <c r="Q992" s="69"/>
      <c r="R992" s="69"/>
      <c r="S992" s="69"/>
      <c r="T992" s="69"/>
      <c r="U992" s="69"/>
      <c r="V992" s="69"/>
      <c r="W992" s="81"/>
      <c r="X992" s="69"/>
      <c r="Y992" s="69"/>
      <c r="Z992" s="69"/>
      <c r="AA992" s="69"/>
      <c r="AB992" s="69"/>
    </row>
    <row r="993" spans="1:28">
      <c r="A993" s="67"/>
      <c r="B993" s="67"/>
      <c r="C993" s="68"/>
      <c r="F993" s="69"/>
      <c r="G993" s="69"/>
      <c r="H993" s="69"/>
      <c r="I993" s="69"/>
      <c r="J993" s="69"/>
      <c r="K993" s="69"/>
      <c r="L993" s="69"/>
      <c r="M993" s="69"/>
      <c r="N993" s="69"/>
      <c r="O993" s="69"/>
      <c r="P993" s="69"/>
      <c r="Q993" s="69"/>
      <c r="R993" s="69"/>
      <c r="S993" s="69"/>
      <c r="T993" s="69"/>
      <c r="U993" s="69"/>
      <c r="V993" s="69"/>
      <c r="W993" s="81"/>
      <c r="X993" s="69"/>
      <c r="Y993" s="69"/>
      <c r="Z993" s="69"/>
      <c r="AA993" s="69"/>
      <c r="AB993" s="69"/>
    </row>
    <row r="994" spans="1:28">
      <c r="A994" s="67"/>
      <c r="B994" s="67"/>
      <c r="C994" s="68"/>
      <c r="F994" s="69"/>
      <c r="G994" s="69"/>
      <c r="H994" s="69"/>
      <c r="I994" s="69"/>
      <c r="J994" s="69"/>
      <c r="K994" s="69"/>
      <c r="L994" s="69"/>
      <c r="M994" s="69"/>
      <c r="N994" s="69"/>
      <c r="O994" s="69"/>
      <c r="P994" s="69"/>
      <c r="Q994" s="69"/>
      <c r="R994" s="69"/>
      <c r="S994" s="69"/>
      <c r="T994" s="69"/>
      <c r="U994" s="69"/>
      <c r="V994" s="69"/>
      <c r="W994" s="81"/>
      <c r="X994" s="69"/>
      <c r="Y994" s="69"/>
      <c r="Z994" s="69"/>
      <c r="AA994" s="69"/>
      <c r="AB994" s="69"/>
    </row>
    <row r="995" spans="1:28">
      <c r="A995" s="67"/>
      <c r="B995" s="67"/>
      <c r="C995" s="68"/>
      <c r="F995" s="69"/>
      <c r="G995" s="69"/>
      <c r="H995" s="69"/>
      <c r="I995" s="69"/>
      <c r="J995" s="69"/>
      <c r="K995" s="69"/>
      <c r="L995" s="69"/>
      <c r="M995" s="69"/>
      <c r="N995" s="69"/>
      <c r="O995" s="69"/>
      <c r="P995" s="69"/>
      <c r="Q995" s="69"/>
      <c r="R995" s="69"/>
      <c r="S995" s="69"/>
      <c r="T995" s="69"/>
      <c r="U995" s="69"/>
      <c r="V995" s="69"/>
      <c r="W995" s="81"/>
      <c r="X995" s="69"/>
      <c r="Y995" s="69"/>
      <c r="Z995" s="69"/>
      <c r="AA995" s="69"/>
      <c r="AB995" s="69"/>
    </row>
    <row r="996" spans="1:28">
      <c r="A996" s="67"/>
      <c r="B996" s="67"/>
      <c r="C996" s="68"/>
      <c r="F996" s="69"/>
      <c r="G996" s="69"/>
      <c r="H996" s="69"/>
      <c r="I996" s="69"/>
      <c r="J996" s="69"/>
      <c r="K996" s="69"/>
      <c r="L996" s="69"/>
      <c r="M996" s="69"/>
      <c r="N996" s="69"/>
      <c r="O996" s="69"/>
      <c r="P996" s="69"/>
      <c r="Q996" s="69"/>
      <c r="R996" s="69"/>
      <c r="S996" s="69"/>
      <c r="T996" s="69"/>
      <c r="U996" s="69"/>
      <c r="V996" s="69"/>
      <c r="W996" s="81"/>
      <c r="X996" s="69"/>
      <c r="Y996" s="69"/>
      <c r="Z996" s="69"/>
      <c r="AA996" s="69"/>
      <c r="AB996" s="69"/>
    </row>
    <row r="997" spans="1:28">
      <c r="A997" s="67"/>
      <c r="B997" s="67"/>
      <c r="C997" s="68"/>
      <c r="F997" s="69"/>
      <c r="G997" s="69"/>
      <c r="H997" s="69"/>
      <c r="I997" s="69"/>
      <c r="J997" s="69"/>
      <c r="K997" s="69"/>
      <c r="L997" s="69"/>
      <c r="M997" s="69"/>
      <c r="N997" s="69"/>
      <c r="O997" s="69"/>
      <c r="P997" s="69"/>
      <c r="Q997" s="69"/>
      <c r="R997" s="69"/>
      <c r="S997" s="69"/>
      <c r="T997" s="69"/>
      <c r="U997" s="69"/>
      <c r="V997" s="69"/>
      <c r="W997" s="81"/>
      <c r="X997" s="69"/>
      <c r="Y997" s="69"/>
      <c r="Z997" s="69"/>
      <c r="AA997" s="69"/>
      <c r="AB997" s="69"/>
    </row>
    <row r="998" spans="1:28">
      <c r="A998" s="67"/>
      <c r="B998" s="67"/>
      <c r="C998" s="68"/>
      <c r="F998" s="69"/>
      <c r="G998" s="69"/>
      <c r="H998" s="69"/>
      <c r="I998" s="69"/>
      <c r="J998" s="69"/>
      <c r="K998" s="69"/>
      <c r="L998" s="69"/>
      <c r="M998" s="69"/>
      <c r="N998" s="69"/>
      <c r="O998" s="69"/>
      <c r="P998" s="69"/>
      <c r="Q998" s="69"/>
      <c r="R998" s="69"/>
      <c r="S998" s="69"/>
      <c r="T998" s="69"/>
      <c r="U998" s="69"/>
      <c r="V998" s="69"/>
      <c r="W998" s="81"/>
      <c r="X998" s="69"/>
      <c r="Y998" s="69"/>
      <c r="Z998" s="69"/>
      <c r="AA998" s="69"/>
      <c r="AB998" s="69"/>
    </row>
    <row r="999" spans="1:28">
      <c r="A999" s="67"/>
      <c r="B999" s="67"/>
      <c r="C999" s="68"/>
      <c r="F999" s="69"/>
      <c r="G999" s="69"/>
      <c r="H999" s="69"/>
      <c r="I999" s="69"/>
      <c r="J999" s="69"/>
      <c r="K999" s="69"/>
      <c r="L999" s="69"/>
      <c r="M999" s="69"/>
      <c r="N999" s="69"/>
      <c r="O999" s="69"/>
      <c r="P999" s="69"/>
      <c r="Q999" s="69"/>
      <c r="R999" s="69"/>
      <c r="S999" s="69"/>
      <c r="T999" s="69"/>
      <c r="U999" s="69"/>
      <c r="V999" s="69"/>
      <c r="W999" s="81"/>
      <c r="X999" s="69"/>
      <c r="Y999" s="69"/>
      <c r="Z999" s="69"/>
      <c r="AA999" s="69"/>
      <c r="AB999" s="69"/>
    </row>
    <row r="1000" spans="1:28">
      <c r="A1000" s="67"/>
      <c r="B1000" s="67"/>
      <c r="C1000" s="68"/>
      <c r="F1000" s="69"/>
      <c r="G1000" s="69"/>
      <c r="H1000" s="69"/>
      <c r="I1000" s="69"/>
      <c r="J1000" s="69"/>
      <c r="K1000" s="69"/>
      <c r="L1000" s="69"/>
      <c r="M1000" s="69"/>
      <c r="N1000" s="69"/>
      <c r="O1000" s="69"/>
      <c r="P1000" s="69"/>
      <c r="Q1000" s="69"/>
      <c r="R1000" s="69"/>
      <c r="S1000" s="69"/>
      <c r="T1000" s="69"/>
      <c r="U1000" s="69"/>
      <c r="V1000" s="69"/>
      <c r="W1000" s="81"/>
      <c r="X1000" s="69"/>
      <c r="Y1000" s="69"/>
      <c r="Z1000" s="69"/>
      <c r="AA1000" s="69"/>
      <c r="AB1000" s="69"/>
    </row>
    <row r="1001" spans="1:28">
      <c r="A1001" s="67"/>
      <c r="B1001" s="67"/>
      <c r="C1001" s="68"/>
      <c r="F1001" s="69"/>
      <c r="G1001" s="69"/>
      <c r="H1001" s="69"/>
      <c r="I1001" s="69"/>
      <c r="J1001" s="69"/>
      <c r="K1001" s="69"/>
      <c r="L1001" s="69"/>
      <c r="M1001" s="69"/>
      <c r="N1001" s="69"/>
      <c r="O1001" s="69"/>
      <c r="P1001" s="69"/>
      <c r="Q1001" s="69"/>
      <c r="R1001" s="69"/>
      <c r="S1001" s="69"/>
      <c r="T1001" s="69"/>
      <c r="U1001" s="69"/>
      <c r="V1001" s="69"/>
      <c r="W1001" s="81"/>
      <c r="X1001" s="69"/>
      <c r="Y1001" s="69"/>
      <c r="Z1001" s="69"/>
      <c r="AA1001" s="69"/>
      <c r="AB1001" s="69"/>
    </row>
    <row r="1002" spans="1:28">
      <c r="A1002" s="67"/>
      <c r="B1002" s="67"/>
      <c r="C1002" s="68"/>
      <c r="F1002" s="69"/>
      <c r="G1002" s="69"/>
      <c r="H1002" s="69"/>
      <c r="I1002" s="69"/>
      <c r="J1002" s="69"/>
      <c r="K1002" s="69"/>
      <c r="L1002" s="69"/>
      <c r="M1002" s="69"/>
      <c r="N1002" s="69"/>
      <c r="O1002" s="69"/>
      <c r="P1002" s="69"/>
      <c r="Q1002" s="69"/>
      <c r="R1002" s="69"/>
      <c r="S1002" s="69"/>
      <c r="T1002" s="69"/>
      <c r="U1002" s="69"/>
      <c r="V1002" s="69"/>
      <c r="W1002" s="81"/>
      <c r="X1002" s="69"/>
      <c r="Y1002" s="69"/>
      <c r="Z1002" s="69"/>
      <c r="AA1002" s="69"/>
      <c r="AB1002" s="69"/>
    </row>
    <row r="1003" spans="1:28">
      <c r="A1003" s="67"/>
      <c r="B1003" s="67"/>
      <c r="C1003" s="68"/>
      <c r="F1003" s="69"/>
      <c r="G1003" s="69"/>
      <c r="H1003" s="69"/>
      <c r="I1003" s="69"/>
      <c r="J1003" s="69"/>
      <c r="K1003" s="69"/>
      <c r="L1003" s="69"/>
      <c r="M1003" s="69"/>
      <c r="N1003" s="69"/>
      <c r="O1003" s="69"/>
      <c r="P1003" s="69"/>
      <c r="Q1003" s="69"/>
      <c r="R1003" s="69"/>
      <c r="S1003" s="69"/>
      <c r="T1003" s="69"/>
      <c r="U1003" s="69"/>
      <c r="V1003" s="69"/>
      <c r="W1003" s="81"/>
      <c r="X1003" s="69"/>
      <c r="Y1003" s="69"/>
      <c r="Z1003" s="69"/>
      <c r="AA1003" s="69"/>
      <c r="AB1003" s="69"/>
    </row>
    <row r="1004" spans="1:28">
      <c r="A1004" s="67"/>
      <c r="B1004" s="67"/>
      <c r="C1004" s="68"/>
      <c r="F1004" s="69"/>
      <c r="G1004" s="69"/>
      <c r="H1004" s="69"/>
      <c r="I1004" s="69"/>
      <c r="J1004" s="69"/>
      <c r="K1004" s="69"/>
      <c r="L1004" s="69"/>
      <c r="M1004" s="69"/>
      <c r="N1004" s="69"/>
      <c r="O1004" s="69"/>
      <c r="P1004" s="69"/>
      <c r="Q1004" s="69"/>
      <c r="R1004" s="69"/>
      <c r="S1004" s="69"/>
      <c r="T1004" s="69"/>
      <c r="U1004" s="69"/>
      <c r="V1004" s="69"/>
      <c r="W1004" s="81"/>
      <c r="X1004" s="69"/>
      <c r="Y1004" s="69"/>
      <c r="Z1004" s="69"/>
      <c r="AA1004" s="69"/>
      <c r="AB1004" s="69"/>
    </row>
    <row r="1005" spans="1:28">
      <c r="A1005" s="67"/>
      <c r="B1005" s="67"/>
      <c r="C1005" s="68"/>
      <c r="F1005" s="69"/>
      <c r="G1005" s="69"/>
      <c r="H1005" s="69"/>
      <c r="I1005" s="69"/>
      <c r="J1005" s="69"/>
      <c r="K1005" s="69"/>
      <c r="L1005" s="69"/>
      <c r="M1005" s="69"/>
      <c r="N1005" s="69"/>
      <c r="O1005" s="69"/>
      <c r="P1005" s="69"/>
      <c r="Q1005" s="69"/>
      <c r="R1005" s="69"/>
      <c r="S1005" s="69"/>
      <c r="T1005" s="69"/>
      <c r="U1005" s="69"/>
      <c r="V1005" s="69"/>
      <c r="W1005" s="81"/>
      <c r="X1005" s="69"/>
      <c r="Y1005" s="69"/>
      <c r="Z1005" s="69"/>
      <c r="AA1005" s="69"/>
      <c r="AB1005" s="69"/>
    </row>
    <row r="1006" spans="1:28">
      <c r="A1006" s="67"/>
      <c r="B1006" s="67"/>
      <c r="C1006" s="68"/>
      <c r="F1006" s="69"/>
      <c r="G1006" s="69"/>
      <c r="H1006" s="69"/>
      <c r="I1006" s="69"/>
      <c r="J1006" s="69"/>
      <c r="K1006" s="69"/>
      <c r="L1006" s="69"/>
      <c r="M1006" s="69"/>
      <c r="N1006" s="69"/>
      <c r="O1006" s="69"/>
      <c r="P1006" s="69"/>
      <c r="Q1006" s="69"/>
      <c r="R1006" s="69"/>
      <c r="S1006" s="69"/>
      <c r="T1006" s="69"/>
      <c r="U1006" s="69"/>
      <c r="V1006" s="69"/>
      <c r="W1006" s="81"/>
      <c r="X1006" s="69"/>
      <c r="Y1006" s="69"/>
      <c r="Z1006" s="69"/>
      <c r="AA1006" s="69"/>
      <c r="AB1006" s="69"/>
    </row>
    <row r="1007" spans="1:28">
      <c r="A1007" s="67"/>
      <c r="B1007" s="67"/>
      <c r="C1007" s="68"/>
      <c r="F1007" s="69"/>
      <c r="G1007" s="69"/>
      <c r="H1007" s="69"/>
      <c r="I1007" s="69"/>
      <c r="J1007" s="69"/>
      <c r="K1007" s="69"/>
      <c r="L1007" s="69"/>
      <c r="M1007" s="69"/>
      <c r="N1007" s="69"/>
      <c r="O1007" s="69"/>
      <c r="P1007" s="69"/>
      <c r="Q1007" s="69"/>
      <c r="R1007" s="69"/>
      <c r="S1007" s="69"/>
      <c r="T1007" s="69"/>
      <c r="U1007" s="69"/>
      <c r="V1007" s="69"/>
      <c r="W1007" s="81"/>
      <c r="X1007" s="69"/>
      <c r="Y1007" s="69"/>
      <c r="Z1007" s="69"/>
      <c r="AA1007" s="69"/>
      <c r="AB1007" s="69"/>
    </row>
    <row r="1008" spans="1:28">
      <c r="A1008" s="67"/>
      <c r="B1008" s="67"/>
      <c r="C1008" s="68"/>
      <c r="F1008" s="69"/>
      <c r="G1008" s="69"/>
      <c r="H1008" s="69"/>
      <c r="I1008" s="69"/>
      <c r="J1008" s="69"/>
      <c r="K1008" s="69"/>
      <c r="L1008" s="69"/>
      <c r="M1008" s="69"/>
      <c r="N1008" s="69"/>
      <c r="O1008" s="69"/>
      <c r="P1008" s="69"/>
      <c r="Q1008" s="69"/>
      <c r="R1008" s="69"/>
      <c r="S1008" s="69"/>
      <c r="T1008" s="69"/>
      <c r="U1008" s="69"/>
      <c r="V1008" s="69"/>
      <c r="W1008" s="81"/>
      <c r="X1008" s="69"/>
      <c r="Y1008" s="69"/>
      <c r="Z1008" s="69"/>
      <c r="AA1008" s="69"/>
      <c r="AB1008" s="69"/>
    </row>
    <row r="1009" spans="1:28">
      <c r="A1009" s="67"/>
      <c r="B1009" s="67"/>
      <c r="C1009" s="68"/>
      <c r="F1009" s="69"/>
      <c r="G1009" s="69"/>
      <c r="H1009" s="69"/>
      <c r="I1009" s="69"/>
      <c r="J1009" s="69"/>
      <c r="K1009" s="69"/>
      <c r="L1009" s="69"/>
      <c r="M1009" s="69"/>
      <c r="N1009" s="69"/>
      <c r="O1009" s="69"/>
      <c r="P1009" s="69"/>
      <c r="Q1009" s="69"/>
      <c r="R1009" s="69"/>
      <c r="S1009" s="69"/>
      <c r="T1009" s="69"/>
      <c r="U1009" s="69"/>
      <c r="V1009" s="69"/>
      <c r="W1009" s="81"/>
      <c r="X1009" s="69"/>
      <c r="Y1009" s="69"/>
      <c r="Z1009" s="69"/>
      <c r="AA1009" s="69"/>
      <c r="AB1009" s="69"/>
    </row>
    <row r="1010" spans="1:28">
      <c r="A1010" s="67"/>
      <c r="B1010" s="67"/>
      <c r="C1010" s="68"/>
      <c r="F1010" s="69"/>
      <c r="G1010" s="69"/>
      <c r="H1010" s="69"/>
      <c r="I1010" s="69"/>
      <c r="J1010" s="69"/>
      <c r="K1010" s="69"/>
      <c r="L1010" s="69"/>
      <c r="M1010" s="69"/>
      <c r="N1010" s="69"/>
      <c r="O1010" s="69"/>
      <c r="P1010" s="69"/>
      <c r="Q1010" s="69"/>
      <c r="R1010" s="69"/>
      <c r="S1010" s="69"/>
      <c r="T1010" s="69"/>
      <c r="U1010" s="69"/>
      <c r="V1010" s="69"/>
      <c r="W1010" s="81"/>
      <c r="X1010" s="69"/>
      <c r="Y1010" s="69"/>
      <c r="Z1010" s="69"/>
      <c r="AA1010" s="69"/>
      <c r="AB1010" s="69"/>
    </row>
    <row r="1011" spans="1:28">
      <c r="A1011" s="67"/>
      <c r="B1011" s="67"/>
      <c r="C1011" s="68"/>
      <c r="F1011" s="69"/>
      <c r="G1011" s="69"/>
      <c r="H1011" s="69"/>
      <c r="I1011" s="69"/>
      <c r="J1011" s="69"/>
      <c r="K1011" s="69"/>
      <c r="L1011" s="69"/>
      <c r="M1011" s="69"/>
      <c r="N1011" s="69"/>
      <c r="O1011" s="69"/>
      <c r="P1011" s="69"/>
      <c r="Q1011" s="69"/>
      <c r="R1011" s="69"/>
      <c r="S1011" s="69"/>
      <c r="T1011" s="69"/>
      <c r="U1011" s="69"/>
      <c r="V1011" s="69"/>
      <c r="W1011" s="81"/>
      <c r="X1011" s="69"/>
      <c r="Y1011" s="69"/>
      <c r="Z1011" s="69"/>
      <c r="AA1011" s="69"/>
      <c r="AB1011" s="69"/>
    </row>
    <row r="1012" spans="1:28">
      <c r="A1012" s="67"/>
      <c r="B1012" s="67"/>
      <c r="C1012" s="68"/>
      <c r="F1012" s="69"/>
      <c r="G1012" s="69"/>
      <c r="H1012" s="69"/>
      <c r="I1012" s="69"/>
      <c r="J1012" s="69"/>
      <c r="K1012" s="69"/>
      <c r="L1012" s="69"/>
      <c r="M1012" s="69"/>
      <c r="N1012" s="69"/>
      <c r="O1012" s="69"/>
      <c r="P1012" s="69"/>
      <c r="Q1012" s="69"/>
      <c r="R1012" s="69"/>
      <c r="S1012" s="69"/>
      <c r="T1012" s="69"/>
      <c r="U1012" s="69"/>
      <c r="V1012" s="69"/>
      <c r="W1012" s="81"/>
      <c r="X1012" s="69"/>
      <c r="Y1012" s="69"/>
      <c r="Z1012" s="69"/>
      <c r="AA1012" s="69"/>
      <c r="AB1012" s="69"/>
    </row>
    <row r="1013" spans="1:28">
      <c r="A1013" s="67"/>
      <c r="B1013" s="67"/>
      <c r="C1013" s="68"/>
      <c r="F1013" s="69"/>
      <c r="G1013" s="69"/>
      <c r="H1013" s="69"/>
      <c r="I1013" s="69"/>
      <c r="J1013" s="69"/>
      <c r="K1013" s="69"/>
      <c r="L1013" s="69"/>
      <c r="M1013" s="69"/>
      <c r="N1013" s="69"/>
      <c r="O1013" s="69"/>
      <c r="P1013" s="69"/>
      <c r="Q1013" s="69"/>
      <c r="R1013" s="69"/>
      <c r="S1013" s="69"/>
      <c r="T1013" s="69"/>
      <c r="U1013" s="69"/>
      <c r="V1013" s="69"/>
      <c r="W1013" s="81"/>
      <c r="X1013" s="69"/>
      <c r="Y1013" s="69"/>
      <c r="Z1013" s="69"/>
      <c r="AA1013" s="69"/>
      <c r="AB1013" s="69"/>
    </row>
    <row r="1014" spans="1:28">
      <c r="A1014" s="67"/>
      <c r="B1014" s="67"/>
      <c r="C1014" s="68"/>
      <c r="F1014" s="69"/>
      <c r="G1014" s="69"/>
      <c r="H1014" s="69"/>
      <c r="I1014" s="69"/>
      <c r="J1014" s="69"/>
      <c r="K1014" s="69"/>
      <c r="L1014" s="69"/>
      <c r="M1014" s="69"/>
      <c r="N1014" s="69"/>
      <c r="O1014" s="69"/>
      <c r="P1014" s="69"/>
      <c r="Q1014" s="69"/>
      <c r="R1014" s="69"/>
      <c r="S1014" s="69"/>
      <c r="T1014" s="69"/>
      <c r="U1014" s="69"/>
      <c r="V1014" s="69"/>
      <c r="W1014" s="81"/>
      <c r="X1014" s="69"/>
      <c r="Y1014" s="69"/>
      <c r="Z1014" s="69"/>
      <c r="AA1014" s="69"/>
      <c r="AB1014" s="69"/>
    </row>
    <row r="1015" spans="1:28">
      <c r="A1015" s="67"/>
      <c r="B1015" s="67"/>
      <c r="C1015" s="68"/>
      <c r="F1015" s="69"/>
      <c r="G1015" s="69"/>
      <c r="H1015" s="69"/>
      <c r="I1015" s="69"/>
      <c r="J1015" s="69"/>
      <c r="K1015" s="69"/>
      <c r="L1015" s="69"/>
      <c r="M1015" s="69"/>
      <c r="N1015" s="69"/>
      <c r="O1015" s="69"/>
      <c r="P1015" s="69"/>
      <c r="Q1015" s="69"/>
      <c r="R1015" s="69"/>
      <c r="S1015" s="69"/>
      <c r="T1015" s="69"/>
      <c r="U1015" s="69"/>
      <c r="V1015" s="69"/>
      <c r="W1015" s="81"/>
      <c r="X1015" s="69"/>
      <c r="Y1015" s="69"/>
      <c r="Z1015" s="69"/>
      <c r="AA1015" s="69"/>
      <c r="AB1015" s="69"/>
    </row>
    <row r="1016" spans="1:28">
      <c r="A1016" s="67"/>
      <c r="B1016" s="67"/>
      <c r="C1016" s="68"/>
      <c r="F1016" s="69"/>
      <c r="G1016" s="69"/>
      <c r="H1016" s="69"/>
      <c r="I1016" s="69"/>
      <c r="J1016" s="69"/>
      <c r="K1016" s="69"/>
      <c r="L1016" s="69"/>
      <c r="M1016" s="69"/>
      <c r="N1016" s="69"/>
      <c r="O1016" s="69"/>
      <c r="P1016" s="69"/>
      <c r="Q1016" s="69"/>
      <c r="R1016" s="69"/>
      <c r="S1016" s="69"/>
      <c r="T1016" s="69"/>
      <c r="U1016" s="69"/>
      <c r="V1016" s="69"/>
      <c r="W1016" s="81"/>
      <c r="X1016" s="69"/>
      <c r="Y1016" s="69"/>
      <c r="Z1016" s="69"/>
      <c r="AA1016" s="69"/>
      <c r="AB1016" s="69"/>
    </row>
    <row r="1017" spans="1:28">
      <c r="A1017" s="67"/>
      <c r="B1017" s="67"/>
      <c r="C1017" s="68"/>
      <c r="F1017" s="69"/>
      <c r="G1017" s="69"/>
      <c r="H1017" s="69"/>
      <c r="I1017" s="69"/>
      <c r="J1017" s="69"/>
      <c r="K1017" s="69"/>
      <c r="L1017" s="69"/>
      <c r="M1017" s="69"/>
      <c r="N1017" s="69"/>
      <c r="O1017" s="69"/>
      <c r="P1017" s="69"/>
      <c r="Q1017" s="69"/>
      <c r="R1017" s="69"/>
      <c r="S1017" s="69"/>
      <c r="T1017" s="69"/>
      <c r="U1017" s="69"/>
      <c r="V1017" s="69"/>
      <c r="W1017" s="81"/>
      <c r="X1017" s="69"/>
      <c r="Y1017" s="69"/>
      <c r="Z1017" s="69"/>
      <c r="AA1017" s="69"/>
      <c r="AB1017" s="69"/>
    </row>
    <row r="1018" spans="1:28">
      <c r="A1018" s="67"/>
      <c r="B1018" s="67"/>
      <c r="C1018" s="68"/>
      <c r="F1018" s="69"/>
      <c r="G1018" s="69"/>
      <c r="H1018" s="69"/>
      <c r="I1018" s="69"/>
      <c r="J1018" s="69"/>
      <c r="K1018" s="69"/>
      <c r="L1018" s="69"/>
      <c r="M1018" s="69"/>
      <c r="N1018" s="69"/>
      <c r="O1018" s="69"/>
      <c r="P1018" s="69"/>
      <c r="Q1018" s="69"/>
      <c r="R1018" s="69"/>
      <c r="S1018" s="69"/>
      <c r="T1018" s="69"/>
      <c r="U1018" s="69"/>
      <c r="V1018" s="69"/>
      <c r="W1018" s="81"/>
      <c r="X1018" s="69"/>
      <c r="Y1018" s="69"/>
      <c r="Z1018" s="69"/>
      <c r="AA1018" s="69"/>
      <c r="AB1018" s="69"/>
    </row>
    <row r="1019" spans="1:28">
      <c r="A1019" s="67"/>
      <c r="B1019" s="67"/>
      <c r="C1019" s="68"/>
      <c r="F1019" s="69"/>
      <c r="G1019" s="69"/>
      <c r="H1019" s="69"/>
      <c r="I1019" s="69"/>
      <c r="J1019" s="69"/>
      <c r="K1019" s="69"/>
      <c r="L1019" s="69"/>
      <c r="M1019" s="69"/>
      <c r="N1019" s="69"/>
      <c r="O1019" s="69"/>
      <c r="P1019" s="69"/>
      <c r="Q1019" s="69"/>
      <c r="R1019" s="69"/>
      <c r="S1019" s="69"/>
      <c r="T1019" s="69"/>
      <c r="U1019" s="69"/>
      <c r="V1019" s="69"/>
      <c r="W1019" s="81"/>
      <c r="X1019" s="69"/>
      <c r="Y1019" s="69"/>
      <c r="Z1019" s="69"/>
      <c r="AA1019" s="69"/>
      <c r="AB1019" s="69"/>
    </row>
    <row r="1020" spans="1:28">
      <c r="A1020" s="67"/>
      <c r="B1020" s="67"/>
      <c r="C1020" s="68"/>
      <c r="F1020" s="69"/>
      <c r="G1020" s="69"/>
      <c r="H1020" s="69"/>
      <c r="I1020" s="69"/>
      <c r="J1020" s="69"/>
      <c r="K1020" s="69"/>
      <c r="L1020" s="69"/>
      <c r="M1020" s="69"/>
      <c r="N1020" s="69"/>
      <c r="O1020" s="69"/>
      <c r="P1020" s="69"/>
      <c r="Q1020" s="69"/>
      <c r="R1020" s="69"/>
      <c r="S1020" s="69"/>
      <c r="T1020" s="69"/>
      <c r="U1020" s="69"/>
      <c r="V1020" s="69"/>
      <c r="W1020" s="81"/>
      <c r="X1020" s="69"/>
      <c r="Y1020" s="69"/>
      <c r="Z1020" s="69"/>
      <c r="AA1020" s="69"/>
      <c r="AB1020" s="69"/>
    </row>
    <row r="1021" spans="1:28">
      <c r="A1021" s="67"/>
      <c r="B1021" s="67"/>
      <c r="C1021" s="68"/>
      <c r="F1021" s="69"/>
      <c r="G1021" s="69"/>
      <c r="H1021" s="69"/>
      <c r="I1021" s="69"/>
      <c r="J1021" s="69"/>
      <c r="K1021" s="69"/>
      <c r="L1021" s="69"/>
      <c r="M1021" s="69"/>
      <c r="N1021" s="69"/>
      <c r="O1021" s="69"/>
      <c r="P1021" s="69"/>
      <c r="Q1021" s="69"/>
      <c r="R1021" s="69"/>
      <c r="S1021" s="69"/>
      <c r="T1021" s="69"/>
      <c r="U1021" s="69"/>
      <c r="V1021" s="69"/>
      <c r="W1021" s="81"/>
      <c r="X1021" s="69"/>
      <c r="Y1021" s="69"/>
      <c r="Z1021" s="69"/>
      <c r="AA1021" s="69"/>
      <c r="AB1021" s="69"/>
    </row>
    <row r="1022" spans="1:28">
      <c r="A1022" s="67"/>
      <c r="B1022" s="67"/>
      <c r="C1022" s="68"/>
      <c r="F1022" s="69"/>
      <c r="G1022" s="69"/>
      <c r="H1022" s="69"/>
      <c r="I1022" s="69"/>
      <c r="J1022" s="69"/>
      <c r="K1022" s="69"/>
      <c r="L1022" s="69"/>
      <c r="M1022" s="69"/>
      <c r="N1022" s="69"/>
      <c r="O1022" s="69"/>
      <c r="P1022" s="69"/>
      <c r="Q1022" s="69"/>
      <c r="R1022" s="69"/>
      <c r="S1022" s="69"/>
      <c r="T1022" s="69"/>
      <c r="U1022" s="69"/>
      <c r="V1022" s="69"/>
      <c r="W1022" s="81"/>
      <c r="X1022" s="69"/>
      <c r="Y1022" s="69"/>
      <c r="Z1022" s="69"/>
      <c r="AA1022" s="69"/>
      <c r="AB1022" s="69"/>
    </row>
    <row r="1023" spans="1:28">
      <c r="A1023" s="67"/>
      <c r="B1023" s="67"/>
      <c r="C1023" s="68"/>
      <c r="F1023" s="69"/>
      <c r="G1023" s="69"/>
      <c r="H1023" s="69"/>
      <c r="I1023" s="69"/>
      <c r="J1023" s="69"/>
      <c r="K1023" s="69"/>
      <c r="L1023" s="69"/>
      <c r="M1023" s="69"/>
      <c r="N1023" s="69"/>
      <c r="O1023" s="69"/>
      <c r="P1023" s="69"/>
      <c r="Q1023" s="69"/>
      <c r="R1023" s="69"/>
      <c r="S1023" s="69"/>
      <c r="T1023" s="69"/>
      <c r="U1023" s="69"/>
      <c r="V1023" s="69"/>
      <c r="W1023" s="81"/>
      <c r="X1023" s="69"/>
      <c r="Y1023" s="69"/>
      <c r="Z1023" s="69"/>
      <c r="AA1023" s="69"/>
      <c r="AB1023" s="69"/>
    </row>
    <row r="1024" spans="1:28">
      <c r="A1024" s="67"/>
      <c r="B1024" s="67"/>
      <c r="C1024" s="68"/>
      <c r="F1024" s="69"/>
      <c r="G1024" s="69"/>
      <c r="H1024" s="69"/>
      <c r="I1024" s="69"/>
      <c r="J1024" s="69"/>
      <c r="K1024" s="69"/>
      <c r="L1024" s="69"/>
      <c r="M1024" s="69"/>
      <c r="N1024" s="69"/>
      <c r="O1024" s="69"/>
      <c r="P1024" s="69"/>
      <c r="Q1024" s="69"/>
      <c r="R1024" s="69"/>
      <c r="S1024" s="69"/>
      <c r="T1024" s="69"/>
      <c r="U1024" s="69"/>
      <c r="V1024" s="69"/>
      <c r="W1024" s="81"/>
      <c r="X1024" s="69"/>
      <c r="Y1024" s="69"/>
      <c r="Z1024" s="69"/>
      <c r="AA1024" s="69"/>
      <c r="AB1024" s="69"/>
    </row>
    <row r="1025" spans="1:28">
      <c r="A1025" s="67"/>
      <c r="B1025" s="67"/>
      <c r="C1025" s="68"/>
      <c r="F1025" s="69"/>
      <c r="G1025" s="69"/>
      <c r="H1025" s="69"/>
      <c r="I1025" s="69"/>
      <c r="J1025" s="69"/>
      <c r="K1025" s="69"/>
      <c r="L1025" s="69"/>
      <c r="M1025" s="69"/>
      <c r="N1025" s="69"/>
      <c r="O1025" s="69"/>
      <c r="P1025" s="69"/>
      <c r="Q1025" s="69"/>
      <c r="R1025" s="69"/>
      <c r="S1025" s="69"/>
      <c r="T1025" s="69"/>
      <c r="U1025" s="69"/>
      <c r="V1025" s="69"/>
      <c r="W1025" s="81"/>
      <c r="X1025" s="69"/>
      <c r="Y1025" s="69"/>
      <c r="Z1025" s="69"/>
      <c r="AA1025" s="69"/>
      <c r="AB1025" s="69"/>
    </row>
    <row r="1026" spans="1:28">
      <c r="A1026" s="67"/>
      <c r="B1026" s="67"/>
      <c r="C1026" s="68"/>
      <c r="F1026" s="69"/>
      <c r="G1026" s="69"/>
      <c r="H1026" s="69"/>
      <c r="I1026" s="69"/>
      <c r="J1026" s="69"/>
      <c r="K1026" s="69"/>
      <c r="L1026" s="69"/>
      <c r="M1026" s="69"/>
      <c r="N1026" s="69"/>
      <c r="O1026" s="69"/>
      <c r="P1026" s="69"/>
      <c r="Q1026" s="69"/>
      <c r="R1026" s="69"/>
      <c r="S1026" s="69"/>
      <c r="T1026" s="69"/>
      <c r="U1026" s="69"/>
      <c r="V1026" s="69"/>
      <c r="W1026" s="81"/>
      <c r="X1026" s="69"/>
      <c r="Y1026" s="69"/>
      <c r="Z1026" s="69"/>
      <c r="AA1026" s="69"/>
      <c r="AB1026" s="69"/>
    </row>
    <row r="1027" spans="1:28">
      <c r="A1027" s="67"/>
      <c r="B1027" s="67"/>
      <c r="C1027" s="68"/>
      <c r="F1027" s="69"/>
      <c r="G1027" s="69"/>
      <c r="H1027" s="69"/>
      <c r="I1027" s="69"/>
      <c r="J1027" s="69"/>
      <c r="K1027" s="69"/>
      <c r="L1027" s="69"/>
      <c r="M1027" s="69"/>
      <c r="N1027" s="69"/>
      <c r="O1027" s="69"/>
      <c r="P1027" s="69"/>
      <c r="Q1027" s="69"/>
      <c r="R1027" s="69"/>
      <c r="S1027" s="69"/>
      <c r="T1027" s="69"/>
      <c r="U1027" s="69"/>
      <c r="V1027" s="69"/>
      <c r="W1027" s="81"/>
      <c r="X1027" s="69"/>
      <c r="Y1027" s="69"/>
      <c r="Z1027" s="69"/>
      <c r="AA1027" s="69"/>
      <c r="AB1027" s="69"/>
    </row>
    <row r="1028" spans="1:28">
      <c r="A1028" s="67"/>
      <c r="B1028" s="67"/>
      <c r="C1028" s="68"/>
      <c r="F1028" s="69"/>
      <c r="G1028" s="69"/>
      <c r="H1028" s="69"/>
      <c r="I1028" s="69"/>
      <c r="J1028" s="69"/>
      <c r="K1028" s="69"/>
      <c r="L1028" s="69"/>
      <c r="M1028" s="69"/>
      <c r="N1028" s="69"/>
      <c r="O1028" s="69"/>
      <c r="P1028" s="69"/>
      <c r="Q1028" s="69"/>
      <c r="R1028" s="69"/>
      <c r="S1028" s="69"/>
      <c r="T1028" s="69"/>
      <c r="U1028" s="69"/>
      <c r="V1028" s="69"/>
      <c r="W1028" s="81"/>
      <c r="X1028" s="69"/>
      <c r="Y1028" s="69"/>
      <c r="Z1028" s="69"/>
      <c r="AA1028" s="69"/>
      <c r="AB1028" s="69"/>
    </row>
    <row r="1029" spans="1:28">
      <c r="A1029" s="67"/>
      <c r="B1029" s="67"/>
      <c r="C1029" s="68"/>
      <c r="F1029" s="69"/>
      <c r="G1029" s="69"/>
      <c r="H1029" s="69"/>
      <c r="I1029" s="69"/>
      <c r="J1029" s="69"/>
      <c r="K1029" s="69"/>
      <c r="L1029" s="69"/>
      <c r="M1029" s="69"/>
      <c r="N1029" s="69"/>
      <c r="O1029" s="69"/>
      <c r="P1029" s="69"/>
      <c r="Q1029" s="69"/>
      <c r="R1029" s="69"/>
      <c r="S1029" s="69"/>
      <c r="T1029" s="69"/>
      <c r="U1029" s="69"/>
      <c r="V1029" s="69"/>
      <c r="W1029" s="81"/>
      <c r="X1029" s="69"/>
      <c r="Y1029" s="69"/>
      <c r="Z1029" s="69"/>
      <c r="AA1029" s="69"/>
      <c r="AB1029" s="69"/>
    </row>
    <row r="1030" spans="1:28">
      <c r="A1030" s="67"/>
      <c r="B1030" s="67"/>
      <c r="C1030" s="68"/>
      <c r="F1030" s="69"/>
      <c r="G1030" s="69"/>
      <c r="H1030" s="69"/>
      <c r="I1030" s="69"/>
      <c r="J1030" s="69"/>
      <c r="K1030" s="69"/>
      <c r="L1030" s="69"/>
      <c r="M1030" s="69"/>
      <c r="N1030" s="69"/>
      <c r="O1030" s="69"/>
      <c r="P1030" s="69"/>
      <c r="Q1030" s="69"/>
      <c r="R1030" s="69"/>
      <c r="S1030" s="69"/>
      <c r="T1030" s="69"/>
      <c r="U1030" s="69"/>
      <c r="V1030" s="69"/>
      <c r="W1030" s="81"/>
      <c r="X1030" s="69"/>
      <c r="Y1030" s="69"/>
      <c r="Z1030" s="69"/>
      <c r="AA1030" s="69"/>
      <c r="AB1030" s="69"/>
    </row>
    <row r="1031" spans="1:28">
      <c r="A1031" s="67"/>
      <c r="B1031" s="67"/>
      <c r="C1031" s="68"/>
      <c r="F1031" s="69"/>
      <c r="G1031" s="69"/>
      <c r="H1031" s="69"/>
      <c r="I1031" s="69"/>
      <c r="J1031" s="69"/>
      <c r="K1031" s="69"/>
      <c r="L1031" s="69"/>
      <c r="M1031" s="69"/>
      <c r="N1031" s="69"/>
      <c r="O1031" s="69"/>
      <c r="P1031" s="69"/>
      <c r="Q1031" s="69"/>
      <c r="R1031" s="69"/>
      <c r="S1031" s="69"/>
      <c r="T1031" s="69"/>
      <c r="U1031" s="69"/>
      <c r="V1031" s="69"/>
      <c r="W1031" s="81"/>
      <c r="X1031" s="69"/>
      <c r="Y1031" s="69"/>
      <c r="Z1031" s="69"/>
      <c r="AA1031" s="69"/>
      <c r="AB1031" s="69"/>
    </row>
    <row r="1032" spans="1:28">
      <c r="A1032" s="67"/>
      <c r="B1032" s="67"/>
      <c r="C1032" s="68"/>
      <c r="F1032" s="69"/>
      <c r="G1032" s="69"/>
      <c r="H1032" s="69"/>
      <c r="I1032" s="69"/>
      <c r="J1032" s="69"/>
      <c r="K1032" s="69"/>
      <c r="L1032" s="69"/>
      <c r="M1032" s="69"/>
      <c r="N1032" s="69"/>
      <c r="O1032" s="69"/>
      <c r="P1032" s="69"/>
      <c r="Q1032" s="69"/>
      <c r="R1032" s="69"/>
      <c r="S1032" s="69"/>
      <c r="T1032" s="69"/>
      <c r="U1032" s="69"/>
      <c r="V1032" s="69"/>
      <c r="W1032" s="81"/>
      <c r="X1032" s="69"/>
      <c r="Y1032" s="69"/>
      <c r="Z1032" s="69"/>
      <c r="AA1032" s="69"/>
      <c r="AB1032" s="69"/>
    </row>
    <row r="1033" spans="1:28">
      <c r="A1033" s="67"/>
      <c r="B1033" s="67"/>
      <c r="C1033" s="68"/>
      <c r="F1033" s="69"/>
      <c r="G1033" s="69"/>
      <c r="H1033" s="69"/>
      <c r="I1033" s="69"/>
      <c r="J1033" s="69"/>
      <c r="K1033" s="69"/>
      <c r="L1033" s="69"/>
      <c r="M1033" s="69"/>
      <c r="N1033" s="69"/>
      <c r="O1033" s="69"/>
      <c r="P1033" s="69"/>
      <c r="Q1033" s="69"/>
      <c r="R1033" s="69"/>
      <c r="S1033" s="69"/>
      <c r="T1033" s="69"/>
      <c r="U1033" s="69"/>
      <c r="V1033" s="69"/>
      <c r="W1033" s="81"/>
      <c r="X1033" s="69"/>
      <c r="Y1033" s="69"/>
      <c r="Z1033" s="69"/>
      <c r="AA1033" s="69"/>
      <c r="AB1033" s="69"/>
    </row>
    <row r="1034" spans="1:28">
      <c r="A1034" s="67"/>
      <c r="B1034" s="67"/>
      <c r="C1034" s="68"/>
      <c r="F1034" s="69"/>
      <c r="G1034" s="69"/>
      <c r="H1034" s="69"/>
      <c r="I1034" s="69"/>
      <c r="J1034" s="69"/>
      <c r="K1034" s="69"/>
      <c r="L1034" s="69"/>
      <c r="M1034" s="69"/>
      <c r="N1034" s="69"/>
      <c r="O1034" s="69"/>
      <c r="P1034" s="69"/>
      <c r="Q1034" s="69"/>
      <c r="R1034" s="69"/>
      <c r="S1034" s="69"/>
      <c r="T1034" s="69"/>
      <c r="U1034" s="69"/>
      <c r="V1034" s="69"/>
      <c r="W1034" s="81"/>
      <c r="X1034" s="69"/>
      <c r="Y1034" s="69"/>
      <c r="Z1034" s="69"/>
      <c r="AA1034" s="69"/>
      <c r="AB1034" s="69"/>
    </row>
    <row r="1035" spans="1:28">
      <c r="A1035" s="67"/>
      <c r="B1035" s="67"/>
      <c r="C1035" s="68"/>
      <c r="F1035" s="69"/>
      <c r="G1035" s="69"/>
      <c r="H1035" s="69"/>
      <c r="I1035" s="69"/>
      <c r="J1035" s="69"/>
      <c r="K1035" s="69"/>
      <c r="L1035" s="69"/>
      <c r="M1035" s="69"/>
      <c r="N1035" s="69"/>
      <c r="O1035" s="69"/>
      <c r="P1035" s="69"/>
      <c r="Q1035" s="69"/>
      <c r="R1035" s="69"/>
      <c r="S1035" s="69"/>
      <c r="T1035" s="69"/>
      <c r="U1035" s="69"/>
      <c r="V1035" s="69"/>
      <c r="W1035" s="81"/>
      <c r="X1035" s="69"/>
      <c r="Y1035" s="69"/>
      <c r="Z1035" s="69"/>
      <c r="AA1035" s="69"/>
      <c r="AB1035" s="69"/>
    </row>
    <row r="1036" spans="1:28">
      <c r="A1036" s="67"/>
      <c r="B1036" s="67"/>
      <c r="C1036" s="68"/>
      <c r="F1036" s="69"/>
      <c r="G1036" s="69"/>
      <c r="H1036" s="69"/>
      <c r="I1036" s="69"/>
      <c r="J1036" s="69"/>
      <c r="K1036" s="69"/>
      <c r="L1036" s="69"/>
      <c r="M1036" s="69"/>
      <c r="N1036" s="69"/>
      <c r="O1036" s="69"/>
      <c r="P1036" s="69"/>
      <c r="Q1036" s="69"/>
      <c r="R1036" s="69"/>
      <c r="S1036" s="69"/>
      <c r="T1036" s="69"/>
      <c r="U1036" s="69"/>
      <c r="V1036" s="69"/>
      <c r="W1036" s="81"/>
      <c r="X1036" s="69"/>
      <c r="Y1036" s="69"/>
      <c r="Z1036" s="69"/>
      <c r="AA1036" s="69"/>
      <c r="AB1036" s="69"/>
    </row>
    <row r="1037" spans="1:28">
      <c r="A1037" s="67"/>
      <c r="B1037" s="67"/>
      <c r="C1037" s="68"/>
      <c r="F1037" s="69"/>
      <c r="G1037" s="69"/>
      <c r="H1037" s="69"/>
      <c r="I1037" s="69"/>
      <c r="J1037" s="69"/>
      <c r="K1037" s="69"/>
      <c r="L1037" s="69"/>
      <c r="M1037" s="69"/>
      <c r="N1037" s="69"/>
      <c r="O1037" s="69"/>
      <c r="P1037" s="69"/>
      <c r="Q1037" s="69"/>
      <c r="R1037" s="69"/>
      <c r="S1037" s="69"/>
      <c r="T1037" s="69"/>
      <c r="U1037" s="69"/>
      <c r="V1037" s="69"/>
      <c r="W1037" s="81"/>
      <c r="X1037" s="69"/>
      <c r="Y1037" s="69"/>
      <c r="Z1037" s="69"/>
      <c r="AA1037" s="69"/>
      <c r="AB1037" s="69"/>
    </row>
    <row r="1038" spans="1:28">
      <c r="A1038" s="67"/>
      <c r="B1038" s="67"/>
      <c r="C1038" s="68"/>
      <c r="F1038" s="69"/>
      <c r="G1038" s="69"/>
      <c r="H1038" s="69"/>
      <c r="I1038" s="69"/>
      <c r="J1038" s="69"/>
      <c r="K1038" s="69"/>
      <c r="L1038" s="69"/>
      <c r="M1038" s="69"/>
      <c r="N1038" s="69"/>
      <c r="O1038" s="69"/>
      <c r="P1038" s="69"/>
      <c r="Q1038" s="69"/>
      <c r="R1038" s="69"/>
      <c r="S1038" s="69"/>
      <c r="T1038" s="69"/>
      <c r="U1038" s="69"/>
      <c r="V1038" s="69"/>
      <c r="W1038" s="81"/>
      <c r="X1038" s="69"/>
      <c r="Y1038" s="69"/>
      <c r="Z1038" s="69"/>
      <c r="AA1038" s="69"/>
      <c r="AB1038" s="69"/>
    </row>
    <row r="1039" spans="1:28">
      <c r="A1039" s="67"/>
      <c r="B1039" s="67"/>
      <c r="C1039" s="68"/>
      <c r="F1039" s="69"/>
      <c r="G1039" s="69"/>
      <c r="H1039" s="69"/>
      <c r="I1039" s="69"/>
      <c r="J1039" s="69"/>
      <c r="K1039" s="69"/>
      <c r="L1039" s="69"/>
      <c r="M1039" s="69"/>
      <c r="N1039" s="69"/>
      <c r="O1039" s="69"/>
      <c r="P1039" s="69"/>
      <c r="Q1039" s="69"/>
      <c r="R1039" s="69"/>
      <c r="S1039" s="69"/>
      <c r="T1039" s="69"/>
      <c r="U1039" s="69"/>
      <c r="V1039" s="69"/>
      <c r="W1039" s="81"/>
      <c r="X1039" s="69"/>
      <c r="Y1039" s="69"/>
      <c r="Z1039" s="69"/>
      <c r="AA1039" s="69"/>
      <c r="AB1039" s="69"/>
    </row>
    <row r="1040" spans="1:28">
      <c r="A1040" s="67"/>
      <c r="B1040" s="67"/>
      <c r="C1040" s="68"/>
      <c r="F1040" s="69"/>
      <c r="G1040" s="69"/>
      <c r="H1040" s="69"/>
      <c r="I1040" s="69"/>
      <c r="J1040" s="69"/>
      <c r="K1040" s="69"/>
      <c r="L1040" s="69"/>
      <c r="M1040" s="69"/>
      <c r="N1040" s="69"/>
      <c r="O1040" s="69"/>
      <c r="P1040" s="69"/>
      <c r="Q1040" s="69"/>
      <c r="R1040" s="69"/>
      <c r="S1040" s="69"/>
      <c r="T1040" s="69"/>
      <c r="U1040" s="69"/>
      <c r="V1040" s="69"/>
      <c r="W1040" s="81"/>
      <c r="X1040" s="69"/>
      <c r="Y1040" s="69"/>
      <c r="Z1040" s="69"/>
      <c r="AA1040" s="69"/>
      <c r="AB1040" s="69"/>
    </row>
  </sheetData>
  <mergeCells count="106">
    <mergeCell ref="C159:C162"/>
    <mergeCell ref="B159:B162"/>
    <mergeCell ref="A1:E1"/>
    <mergeCell ref="Y3:AB3"/>
    <mergeCell ref="B205:B207"/>
    <mergeCell ref="C205:C207"/>
    <mergeCell ref="C150:C153"/>
    <mergeCell ref="B158:D158"/>
    <mergeCell ref="A159:A210"/>
    <mergeCell ref="B163:B167"/>
    <mergeCell ref="C163:C167"/>
    <mergeCell ref="B168:B172"/>
    <mergeCell ref="C168:C172"/>
    <mergeCell ref="B131:B132"/>
    <mergeCell ref="C131:C132"/>
    <mergeCell ref="B210:D210"/>
    <mergeCell ref="B128:B130"/>
    <mergeCell ref="C128:C130"/>
    <mergeCell ref="A94:A134"/>
    <mergeCell ref="B94:B103"/>
    <mergeCell ref="C94:C103"/>
    <mergeCell ref="B104:B105"/>
    <mergeCell ref="F4:F5"/>
    <mergeCell ref="I4:I5"/>
    <mergeCell ref="A211:D211"/>
    <mergeCell ref="B194:B199"/>
    <mergeCell ref="C194:C199"/>
    <mergeCell ref="B200:B201"/>
    <mergeCell ref="C200:C201"/>
    <mergeCell ref="B202:B204"/>
    <mergeCell ref="C202:C204"/>
    <mergeCell ref="B180:B183"/>
    <mergeCell ref="C180:C183"/>
    <mergeCell ref="B184:B186"/>
    <mergeCell ref="C184:C186"/>
    <mergeCell ref="B187:B192"/>
    <mergeCell ref="C187:C192"/>
    <mergeCell ref="B26:B36"/>
    <mergeCell ref="C26:C36"/>
    <mergeCell ref="B40:B46"/>
    <mergeCell ref="G4:H4"/>
    <mergeCell ref="C104:C105"/>
    <mergeCell ref="B106:B110"/>
    <mergeCell ref="C106:C110"/>
    <mergeCell ref="B70:B74"/>
    <mergeCell ref="C70:C74"/>
    <mergeCell ref="B75:B78"/>
    <mergeCell ref="C75:C78"/>
    <mergeCell ref="B79:B85"/>
    <mergeCell ref="C79:C85"/>
    <mergeCell ref="B86:B89"/>
    <mergeCell ref="C86:C89"/>
    <mergeCell ref="B93:D93"/>
    <mergeCell ref="C47:C56"/>
    <mergeCell ref="B57:B66"/>
    <mergeCell ref="C4:C5"/>
    <mergeCell ref="D4:D5"/>
    <mergeCell ref="E4:E5"/>
    <mergeCell ref="A4:A5"/>
    <mergeCell ref="B4:B5"/>
    <mergeCell ref="C122:C125"/>
    <mergeCell ref="A135:A158"/>
    <mergeCell ref="B138:B144"/>
    <mergeCell ref="C138:C144"/>
    <mergeCell ref="B145:B146"/>
    <mergeCell ref="C145:C146"/>
    <mergeCell ref="B147:B149"/>
    <mergeCell ref="C147:C149"/>
    <mergeCell ref="B122:B125"/>
    <mergeCell ref="C135:C136"/>
    <mergeCell ref="B135:B136"/>
    <mergeCell ref="B150:B153"/>
    <mergeCell ref="B134:D134"/>
    <mergeCell ref="B111:B113"/>
    <mergeCell ref="C111:C113"/>
    <mergeCell ref="B114:B118"/>
    <mergeCell ref="C114:C118"/>
    <mergeCell ref="C57:C66"/>
    <mergeCell ref="B68:D68"/>
    <mergeCell ref="B119:B120"/>
    <mergeCell ref="C119:C120"/>
    <mergeCell ref="A69:A93"/>
    <mergeCell ref="B173:B179"/>
    <mergeCell ref="C173:C179"/>
    <mergeCell ref="AB4:AB5"/>
    <mergeCell ref="A6:A68"/>
    <mergeCell ref="B6:B23"/>
    <mergeCell ref="C6:C23"/>
    <mergeCell ref="B24:B25"/>
    <mergeCell ref="C24:C25"/>
    <mergeCell ref="R4:R5"/>
    <mergeCell ref="S4:S5"/>
    <mergeCell ref="X4:Y4"/>
    <mergeCell ref="J4:L4"/>
    <mergeCell ref="M4:M5"/>
    <mergeCell ref="N4:N5"/>
    <mergeCell ref="O4:O5"/>
    <mergeCell ref="P4:P5"/>
    <mergeCell ref="Q4:Q5"/>
    <mergeCell ref="T4:V4"/>
    <mergeCell ref="W4:W5"/>
    <mergeCell ref="C37:C39"/>
    <mergeCell ref="B37:B39"/>
    <mergeCell ref="Z4:AA4"/>
    <mergeCell ref="C40:C46"/>
    <mergeCell ref="B47:B56"/>
  </mergeCells>
  <printOptions gridLines="1"/>
  <pageMargins left="1.1599999999999999" right="0.16" top="0.25" bottom="0.18" header="0.3" footer="0.16"/>
  <pageSetup paperSize="5" scale="60" fitToHeight="0" orientation="landscape" r:id="rId1"/>
  <rowBreaks count="2" manualBreakCount="2">
    <brk id="15" max="22" man="1"/>
    <brk id="22" max="22" man="1"/>
  </rowBreaks>
</worksheet>
</file>

<file path=xl/worksheets/sheet4.xml><?xml version="1.0" encoding="utf-8"?>
<worksheet xmlns="http://schemas.openxmlformats.org/spreadsheetml/2006/main" xmlns:r="http://schemas.openxmlformats.org/officeDocument/2006/relationships">
  <dimension ref="A2:E14"/>
  <sheetViews>
    <sheetView workbookViewId="0">
      <selection activeCell="E27" sqref="E27"/>
    </sheetView>
  </sheetViews>
  <sheetFormatPr defaultRowHeight="12.75"/>
  <cols>
    <col min="1" max="1" width="6.85546875" customWidth="1"/>
    <col min="2" max="2" width="7.5703125" style="21" customWidth="1"/>
    <col min="3" max="3" width="17.85546875" customWidth="1"/>
    <col min="4" max="4" width="12.140625" customWidth="1"/>
    <col min="5" max="5" width="15.140625" customWidth="1"/>
  </cols>
  <sheetData>
    <row r="2" spans="1:5">
      <c r="A2" s="174" t="s">
        <v>338</v>
      </c>
      <c r="B2" s="174"/>
      <c r="C2" s="174"/>
      <c r="D2" s="174"/>
      <c r="E2" s="174"/>
    </row>
    <row r="3" spans="1:5" ht="15">
      <c r="A3" s="168" t="s">
        <v>272</v>
      </c>
      <c r="B3" s="6" t="s">
        <v>339</v>
      </c>
      <c r="C3" s="6" t="s">
        <v>213</v>
      </c>
      <c r="D3" s="5" t="s">
        <v>276</v>
      </c>
      <c r="E3" s="22" t="s">
        <v>214</v>
      </c>
    </row>
    <row r="4" spans="1:5" ht="31.5" customHeight="1">
      <c r="A4" s="168"/>
      <c r="B4" s="23">
        <v>1</v>
      </c>
      <c r="C4" s="2" t="s">
        <v>208</v>
      </c>
      <c r="D4" s="1">
        <v>36</v>
      </c>
      <c r="E4" s="1">
        <v>450</v>
      </c>
    </row>
    <row r="5" spans="1:5" ht="31.5" customHeight="1">
      <c r="A5" s="168"/>
      <c r="B5" s="23">
        <v>2</v>
      </c>
      <c r="C5" s="3" t="s">
        <v>215</v>
      </c>
      <c r="D5" s="1">
        <v>371</v>
      </c>
      <c r="E5" s="1">
        <v>2040.5</v>
      </c>
    </row>
    <row r="6" spans="1:5" ht="31.5" customHeight="1">
      <c r="A6" s="168"/>
      <c r="B6" s="23">
        <v>4</v>
      </c>
      <c r="C6" s="2" t="s">
        <v>209</v>
      </c>
      <c r="D6" s="1">
        <v>277</v>
      </c>
      <c r="E6" s="1">
        <v>969.5</v>
      </c>
    </row>
    <row r="7" spans="1:5" ht="31.5" customHeight="1">
      <c r="A7" s="168"/>
      <c r="B7" s="23">
        <v>5</v>
      </c>
      <c r="C7" s="2" t="s">
        <v>210</v>
      </c>
      <c r="D7" s="1">
        <v>10258</v>
      </c>
      <c r="E7" s="1">
        <v>2051.6</v>
      </c>
    </row>
    <row r="8" spans="1:5" ht="31.5" customHeight="1">
      <c r="A8" s="168"/>
      <c r="B8" s="23">
        <v>6</v>
      </c>
      <c r="C8" s="2" t="s">
        <v>211</v>
      </c>
      <c r="D8" s="1">
        <v>11415</v>
      </c>
      <c r="E8" s="1">
        <v>761.05</v>
      </c>
    </row>
    <row r="9" spans="1:5" ht="31.5" customHeight="1">
      <c r="A9" s="168"/>
      <c r="B9" s="23">
        <v>7</v>
      </c>
      <c r="C9" s="7" t="s">
        <v>212</v>
      </c>
      <c r="D9" s="94" t="s">
        <v>428</v>
      </c>
      <c r="E9" s="94">
        <f>833.4+1285.5</f>
        <v>2118.9</v>
      </c>
    </row>
    <row r="10" spans="1:5" ht="18.75" customHeight="1">
      <c r="A10" s="169" t="s">
        <v>13</v>
      </c>
      <c r="B10" s="170"/>
      <c r="C10" s="170"/>
      <c r="D10" s="1"/>
      <c r="E10" s="1"/>
    </row>
    <row r="11" spans="1:5" ht="18" customHeight="1">
      <c r="A11" s="171" t="s">
        <v>275</v>
      </c>
      <c r="B11" s="23">
        <v>1</v>
      </c>
      <c r="C11" s="8" t="s">
        <v>273</v>
      </c>
      <c r="D11" s="1"/>
      <c r="E11" s="1"/>
    </row>
    <row r="12" spans="1:5" ht="18" customHeight="1">
      <c r="A12" s="172"/>
      <c r="B12" s="23">
        <v>2</v>
      </c>
      <c r="C12" s="8" t="s">
        <v>274</v>
      </c>
      <c r="D12" s="1">
        <v>110</v>
      </c>
      <c r="E12" s="1">
        <v>120</v>
      </c>
    </row>
    <row r="13" spans="1:5" ht="18" customHeight="1">
      <c r="A13" s="173"/>
      <c r="B13" s="23">
        <v>3</v>
      </c>
      <c r="C13" s="9" t="s">
        <v>97</v>
      </c>
      <c r="D13" s="1">
        <v>843</v>
      </c>
      <c r="E13" s="1">
        <v>42.15</v>
      </c>
    </row>
    <row r="14" spans="1:5" ht="16.5" customHeight="1">
      <c r="A14" s="169" t="s">
        <v>277</v>
      </c>
      <c r="B14" s="170"/>
      <c r="C14" s="170"/>
      <c r="D14" s="1"/>
      <c r="E14" s="1">
        <v>162.15</v>
      </c>
    </row>
  </sheetData>
  <mergeCells count="5">
    <mergeCell ref="A3:A9"/>
    <mergeCell ref="A10:C10"/>
    <mergeCell ref="A14:C14"/>
    <mergeCell ref="A11:A13"/>
    <mergeCell ref="A2:E2"/>
  </mergeCells>
  <pageMargins left="0.7" right="0.7" top="0.75" bottom="0.75" header="0.3" footer="0.3"/>
  <pageSetup paperSize="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Sources of Funding</vt:lpstr>
      <vt:lpstr>Pool wise Summary</vt:lpstr>
      <vt:lpstr>Annexure-1 Budgeting format</vt:lpstr>
      <vt:lpstr>Annexure_Untied Funds</vt:lpstr>
      <vt:lpstr>'Annexure-1 Budgeting format'!Print_Area</vt:lpstr>
      <vt:lpstr>'Annexure-1 Budgeting format'!Print_Titles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Isha Sharma</dc:creator>
  <cp:lastModifiedBy>SPM Cell 2</cp:lastModifiedBy>
  <cp:lastPrinted>2022-03-16T07:58:43Z</cp:lastPrinted>
  <dcterms:created xsi:type="dcterms:W3CDTF">2021-12-06T02:34:44Z</dcterms:created>
  <dcterms:modified xsi:type="dcterms:W3CDTF">2022-06-09T08:41:12Z</dcterms:modified>
</cp:coreProperties>
</file>